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bookViews>
    <workbookView xWindow="0" yWindow="0" windowWidth="12200" windowHeight="11830" activeTab="5"/>
  </bookViews>
  <sheets>
    <sheet name="Допущения" sheetId="1" r:id="rId1"/>
    <sheet name="Расчеты" sheetId="2" r:id="rId2"/>
    <sheet name="Отчетность" sheetId="3" r:id="rId3"/>
    <sheet name="Годовая отчетность" sheetId="4" r:id="rId4"/>
    <sheet name="Инвестиционная оценка" sheetId="5" r:id="rId5"/>
    <sheet name="Анализ чувствительности" sheetId="6" r:id="rId6"/>
    <sheet name="Сценарный анализ" sheetId="7" r:id="rId7"/>
  </sheets>
  <calcPr calcId="162913"/>
</workbook>
</file>

<file path=xl/calcChain.xml><?xml version="1.0" encoding="utf-8"?>
<calcChain xmlns="http://schemas.openxmlformats.org/spreadsheetml/2006/main">
  <c r="B25" i="7" l="1"/>
  <c r="D17" i="7" s="1"/>
  <c r="D15" i="1" s="1"/>
  <c r="I15" i="1" s="1"/>
  <c r="J15" i="1" s="1"/>
  <c r="K15" i="1" s="1"/>
  <c r="I6" i="7"/>
  <c r="J6" i="7" s="1"/>
  <c r="K6" i="7" s="1"/>
  <c r="L6" i="7" s="1"/>
  <c r="M6" i="7" s="1"/>
  <c r="N6" i="7" s="1"/>
  <c r="O6" i="7" s="1"/>
  <c r="P6" i="7" s="1"/>
  <c r="Q6" i="7" s="1"/>
  <c r="R6" i="7" s="1"/>
  <c r="S6" i="7" s="1"/>
  <c r="T6" i="7" s="1"/>
  <c r="U6" i="7" s="1"/>
  <c r="V6" i="7" s="1"/>
  <c r="W6" i="7" s="1"/>
  <c r="I5" i="7"/>
  <c r="J5" i="7" s="1"/>
  <c r="K5" i="7" s="1"/>
  <c r="C13" i="6"/>
  <c r="C12" i="6"/>
  <c r="X38" i="5"/>
  <c r="X37" i="5"/>
  <c r="D22" i="5"/>
  <c r="H49" i="3"/>
  <c r="W45" i="3"/>
  <c r="H45" i="3"/>
  <c r="W44" i="3"/>
  <c r="V44" i="3"/>
  <c r="U44" i="3"/>
  <c r="T44" i="3"/>
  <c r="S44" i="3"/>
  <c r="R44" i="3"/>
  <c r="Q44" i="3"/>
  <c r="P44" i="3"/>
  <c r="O44" i="3"/>
  <c r="N44" i="3"/>
  <c r="M44" i="3"/>
  <c r="L44" i="3"/>
  <c r="K44" i="3"/>
  <c r="J44" i="3"/>
  <c r="I44" i="3"/>
  <c r="W42" i="3"/>
  <c r="V42" i="3"/>
  <c r="U42" i="3"/>
  <c r="T42" i="3"/>
  <c r="I25" i="4" s="1"/>
  <c r="S42" i="3"/>
  <c r="R42" i="3"/>
  <c r="Q42" i="3"/>
  <c r="P42" i="3"/>
  <c r="O42" i="3"/>
  <c r="N42" i="3"/>
  <c r="M42" i="3"/>
  <c r="L42" i="3"/>
  <c r="G25" i="4" s="1"/>
  <c r="K42" i="3"/>
  <c r="J42" i="3"/>
  <c r="I42" i="3"/>
  <c r="H42" i="3"/>
  <c r="G28" i="3"/>
  <c r="E48" i="4" s="1"/>
  <c r="G27" i="3"/>
  <c r="G25" i="3"/>
  <c r="E45" i="4" s="1"/>
  <c r="G24" i="3"/>
  <c r="G22" i="3"/>
  <c r="E41" i="4" s="1"/>
  <c r="G21" i="3"/>
  <c r="E40" i="4" s="1"/>
  <c r="G20" i="3"/>
  <c r="E38" i="4" s="1"/>
  <c r="G19" i="3"/>
  <c r="E39" i="4" s="1"/>
  <c r="G18" i="3"/>
  <c r="E37" i="4" s="1"/>
  <c r="G69" i="2"/>
  <c r="G63" i="2"/>
  <c r="G66" i="2" s="1"/>
  <c r="V56" i="2"/>
  <c r="V45" i="3" s="1"/>
  <c r="U56" i="2"/>
  <c r="U45" i="3" s="1"/>
  <c r="T56" i="2"/>
  <c r="T45" i="3" s="1"/>
  <c r="I30" i="4" s="1"/>
  <c r="S56" i="2"/>
  <c r="S45" i="3" s="1"/>
  <c r="R56" i="2"/>
  <c r="R45" i="3" s="1"/>
  <c r="Q56" i="2"/>
  <c r="Q45" i="3" s="1"/>
  <c r="P56" i="2"/>
  <c r="P45" i="3" s="1"/>
  <c r="O56" i="2"/>
  <c r="O45" i="3" s="1"/>
  <c r="N56" i="2"/>
  <c r="N45" i="3" s="1"/>
  <c r="M56" i="2"/>
  <c r="M45" i="3" s="1"/>
  <c r="L56" i="2"/>
  <c r="L45" i="3" s="1"/>
  <c r="K56" i="2"/>
  <c r="K45" i="3" s="1"/>
  <c r="J56" i="2"/>
  <c r="J45" i="3" s="1"/>
  <c r="I56" i="2"/>
  <c r="I45" i="3" s="1"/>
  <c r="H55" i="2"/>
  <c r="W51" i="2"/>
  <c r="W46" i="3" s="1"/>
  <c r="V51" i="2"/>
  <c r="V46" i="3" s="1"/>
  <c r="U51" i="2"/>
  <c r="U46" i="3" s="1"/>
  <c r="T51" i="2"/>
  <c r="T46" i="3" s="1"/>
  <c r="S51" i="2"/>
  <c r="S46" i="3" s="1"/>
  <c r="R51" i="2"/>
  <c r="R46" i="3" s="1"/>
  <c r="Q51" i="2"/>
  <c r="Q46" i="3" s="1"/>
  <c r="P51" i="2"/>
  <c r="P46" i="3" s="1"/>
  <c r="O51" i="2"/>
  <c r="O46" i="3" s="1"/>
  <c r="N51" i="2"/>
  <c r="N46" i="3" s="1"/>
  <c r="M51" i="2"/>
  <c r="M46" i="3" s="1"/>
  <c r="L51" i="2"/>
  <c r="L46" i="3" s="1"/>
  <c r="K51" i="2"/>
  <c r="K46" i="3" s="1"/>
  <c r="J51" i="2"/>
  <c r="J46" i="3" s="1"/>
  <c r="I51" i="2"/>
  <c r="I46" i="3" s="1"/>
  <c r="H51" i="2"/>
  <c r="H46" i="3" s="1"/>
  <c r="G51" i="2"/>
  <c r="H46" i="2"/>
  <c r="H10" i="3" s="1"/>
  <c r="H44" i="2"/>
  <c r="I45" i="2" s="1"/>
  <c r="H41" i="2"/>
  <c r="G41" i="2"/>
  <c r="G40" i="2"/>
  <c r="G38" i="2"/>
  <c r="G36" i="2"/>
  <c r="G29" i="2"/>
  <c r="G20" i="2"/>
  <c r="G17" i="2"/>
  <c r="G16" i="2"/>
  <c r="G14" i="2"/>
  <c r="G11" i="2"/>
  <c r="G10" i="2"/>
  <c r="G84" i="1"/>
  <c r="G79" i="1"/>
  <c r="G85" i="1" s="1"/>
  <c r="H71" i="1"/>
  <c r="H63" i="2" s="1"/>
  <c r="H70" i="1"/>
  <c r="H54" i="1"/>
  <c r="H40" i="2" s="1"/>
  <c r="H53" i="1"/>
  <c r="H38" i="2" s="1"/>
  <c r="H52" i="1"/>
  <c r="H36" i="2" s="1"/>
  <c r="I49" i="1"/>
  <c r="J49" i="1" s="1"/>
  <c r="K49" i="1" s="1"/>
  <c r="L49" i="1" s="1"/>
  <c r="M49" i="1" s="1"/>
  <c r="N49" i="1" s="1"/>
  <c r="O49" i="1" s="1"/>
  <c r="P49" i="1" s="1"/>
  <c r="Q49" i="1" s="1"/>
  <c r="R49" i="1" s="1"/>
  <c r="S49" i="1" s="1"/>
  <c r="T49" i="1" s="1"/>
  <c r="U49" i="1" s="1"/>
  <c r="V49" i="1" s="1"/>
  <c r="W49" i="1" s="1"/>
  <c r="H49" i="1"/>
  <c r="G48" i="1"/>
  <c r="G28" i="2" s="1"/>
  <c r="I46" i="1"/>
  <c r="J46" i="1" s="1"/>
  <c r="K46" i="1" s="1"/>
  <c r="G42" i="1"/>
  <c r="G41" i="1"/>
  <c r="G18" i="2" s="1"/>
  <c r="I40" i="1"/>
  <c r="J40" i="1" s="1"/>
  <c r="K40" i="1" s="1"/>
  <c r="L40" i="1" s="1"/>
  <c r="M40" i="1" s="1"/>
  <c r="N40" i="1" s="1"/>
  <c r="O40" i="1" s="1"/>
  <c r="P40" i="1" s="1"/>
  <c r="Q40" i="1" s="1"/>
  <c r="R40" i="1" s="1"/>
  <c r="S40" i="1" s="1"/>
  <c r="T40" i="1" s="1"/>
  <c r="U40" i="1" s="1"/>
  <c r="V40" i="1" s="1"/>
  <c r="W40" i="1" s="1"/>
  <c r="H40" i="1"/>
  <c r="H39" i="1"/>
  <c r="I39" i="1" s="1"/>
  <c r="J39" i="1" s="1"/>
  <c r="K39" i="1" s="1"/>
  <c r="L39" i="1" s="1"/>
  <c r="M39" i="1" s="1"/>
  <c r="N39" i="1" s="1"/>
  <c r="O39" i="1" s="1"/>
  <c r="P39" i="1" s="1"/>
  <c r="Q39" i="1" s="1"/>
  <c r="R39" i="1" s="1"/>
  <c r="S39" i="1" s="1"/>
  <c r="T39" i="1" s="1"/>
  <c r="U39" i="1" s="1"/>
  <c r="V39" i="1" s="1"/>
  <c r="W39" i="1" s="1"/>
  <c r="H29" i="1"/>
  <c r="I29" i="1" s="1"/>
  <c r="H28" i="1"/>
  <c r="I28" i="1" s="1"/>
  <c r="H27" i="1"/>
  <c r="I27" i="1" s="1"/>
  <c r="H26" i="1"/>
  <c r="I26" i="1" s="1"/>
  <c r="J26" i="1" s="1"/>
  <c r="K26" i="1" s="1"/>
  <c r="H25" i="1"/>
  <c r="I25" i="1" s="1"/>
  <c r="J25" i="1" s="1"/>
  <c r="H24" i="1"/>
  <c r="I24" i="1" s="1"/>
  <c r="J24" i="1" s="1"/>
  <c r="H23" i="1"/>
  <c r="I23" i="1" s="1"/>
  <c r="H22" i="1"/>
  <c r="I22" i="1" s="1"/>
  <c r="J22" i="1" s="1"/>
  <c r="G19" i="1"/>
  <c r="G18" i="1"/>
  <c r="G5" i="2" s="1"/>
  <c r="H11" i="1"/>
  <c r="I11" i="1" s="1"/>
  <c r="J11" i="1" s="1"/>
  <c r="K11" i="1" s="1"/>
  <c r="L11" i="1" s="1"/>
  <c r="M11" i="1" s="1"/>
  <c r="N11" i="1" s="1"/>
  <c r="O11" i="1" s="1"/>
  <c r="P11" i="1" s="1"/>
  <c r="Q11" i="1" s="1"/>
  <c r="R11" i="1" s="1"/>
  <c r="S11" i="1" s="1"/>
  <c r="T11" i="1" s="1"/>
  <c r="U11" i="1" s="1"/>
  <c r="V11" i="1" s="1"/>
  <c r="W11" i="1" s="1"/>
  <c r="H8" i="1"/>
  <c r="H38" i="1" s="1"/>
  <c r="I7" i="1"/>
  <c r="J7" i="1" s="1"/>
  <c r="J8" i="1" s="1"/>
  <c r="P6" i="1"/>
  <c r="L6" i="1"/>
  <c r="H6" i="1"/>
  <c r="H45" i="1" s="1"/>
  <c r="Q5" i="1"/>
  <c r="Q6" i="1" s="1"/>
  <c r="M5" i="1"/>
  <c r="N5" i="1" s="1"/>
  <c r="N6" i="1" s="1"/>
  <c r="I5" i="1"/>
  <c r="I6" i="1" s="1"/>
  <c r="C14" i="6" l="1"/>
  <c r="H47" i="1"/>
  <c r="R5" i="1"/>
  <c r="S5" i="1" s="1"/>
  <c r="F25" i="4"/>
  <c r="K7" i="1"/>
  <c r="K8" i="1" s="1"/>
  <c r="I8" i="1"/>
  <c r="I47" i="1" s="1"/>
  <c r="I46" i="2"/>
  <c r="I10" i="3" s="1"/>
  <c r="I35" i="3" s="1"/>
  <c r="G29" i="4"/>
  <c r="F31" i="4"/>
  <c r="I54" i="1"/>
  <c r="I40" i="2" s="1"/>
  <c r="G12" i="2"/>
  <c r="H31" i="4"/>
  <c r="H30" i="4"/>
  <c r="M6" i="1"/>
  <c r="G30" i="2"/>
  <c r="G31" i="2" s="1"/>
  <c r="G32" i="2" s="1"/>
  <c r="H25" i="4"/>
  <c r="I47" i="3"/>
  <c r="Q47" i="3"/>
  <c r="G30" i="4"/>
  <c r="I38" i="1"/>
  <c r="I42" i="1" s="1"/>
  <c r="I19" i="2" s="1"/>
  <c r="I52" i="1"/>
  <c r="I36" i="2" s="1"/>
  <c r="K25" i="1"/>
  <c r="S6" i="1"/>
  <c r="T5" i="1"/>
  <c r="H29" i="2"/>
  <c r="I45" i="1"/>
  <c r="L15" i="1"/>
  <c r="L26" i="1"/>
  <c r="L46" i="1"/>
  <c r="J5" i="1"/>
  <c r="K22" i="1"/>
  <c r="J23" i="1"/>
  <c r="G19" i="2"/>
  <c r="G21" i="2" s="1"/>
  <c r="G24" i="2" s="1"/>
  <c r="G13" i="2"/>
  <c r="G61" i="2" s="1"/>
  <c r="I70" i="1"/>
  <c r="J70" i="1" s="1"/>
  <c r="K70" i="1" s="1"/>
  <c r="L70" i="1" s="1"/>
  <c r="M70" i="1" s="1"/>
  <c r="N70" i="1" s="1"/>
  <c r="O70" i="1" s="1"/>
  <c r="P70" i="1" s="1"/>
  <c r="Q70" i="1" s="1"/>
  <c r="R70" i="1" s="1"/>
  <c r="S70" i="1" s="1"/>
  <c r="T70" i="1" s="1"/>
  <c r="U70" i="1" s="1"/>
  <c r="V70" i="1" s="1"/>
  <c r="W70" i="1" s="1"/>
  <c r="O5" i="1"/>
  <c r="O6" i="1" s="1"/>
  <c r="L7" i="1"/>
  <c r="K24" i="1"/>
  <c r="H42" i="1"/>
  <c r="H19" i="2" s="1"/>
  <c r="H48" i="1"/>
  <c r="H28" i="2" s="1"/>
  <c r="J27" i="1"/>
  <c r="H36" i="1"/>
  <c r="H17" i="2" s="1"/>
  <c r="H31" i="1"/>
  <c r="H30" i="1"/>
  <c r="G6" i="2"/>
  <c r="G7" i="2" s="1"/>
  <c r="G64" i="2" s="1"/>
  <c r="H19" i="1"/>
  <c r="R6" i="1"/>
  <c r="J28" i="1"/>
  <c r="I53" i="1"/>
  <c r="G35" i="2"/>
  <c r="G37" i="2" s="1"/>
  <c r="H18" i="1"/>
  <c r="J29" i="1"/>
  <c r="I71" i="1"/>
  <c r="H13" i="2"/>
  <c r="H37" i="1"/>
  <c r="H48" i="2"/>
  <c r="H47" i="2"/>
  <c r="I44" i="2"/>
  <c r="H38" i="3"/>
  <c r="H19" i="3"/>
  <c r="H44" i="3"/>
  <c r="H54" i="2"/>
  <c r="H35" i="3"/>
  <c r="K47" i="3"/>
  <c r="S47" i="3"/>
  <c r="G31" i="4"/>
  <c r="I31" i="4"/>
  <c r="E46" i="4"/>
  <c r="G15" i="5"/>
  <c r="G29" i="3"/>
  <c r="G23" i="3"/>
  <c r="J47" i="3"/>
  <c r="R47" i="3"/>
  <c r="E43" i="4"/>
  <c r="X32" i="5"/>
  <c r="M47" i="3"/>
  <c r="U47" i="3"/>
  <c r="E44" i="4"/>
  <c r="H24" i="3"/>
  <c r="G26" i="3"/>
  <c r="N47" i="3"/>
  <c r="V47" i="3"/>
  <c r="O47" i="3"/>
  <c r="W47" i="3"/>
  <c r="L5" i="7"/>
  <c r="M5" i="7" s="1"/>
  <c r="N5" i="7" s="1"/>
  <c r="O5" i="7" s="1"/>
  <c r="K7" i="7"/>
  <c r="K9" i="1" s="1"/>
  <c r="K10" i="1" s="1"/>
  <c r="I29" i="4"/>
  <c r="L47" i="3"/>
  <c r="T47" i="3"/>
  <c r="H29" i="4"/>
  <c r="F30" i="4"/>
  <c r="P47" i="3"/>
  <c r="J7" i="7"/>
  <c r="J9" i="1" s="1"/>
  <c r="J10" i="1" s="1"/>
  <c r="D22" i="7"/>
  <c r="D67" i="1" s="1"/>
  <c r="H7" i="7"/>
  <c r="H9" i="1" s="1"/>
  <c r="H10" i="1" s="1"/>
  <c r="D12" i="7"/>
  <c r="D14" i="1" s="1"/>
  <c r="I14" i="1" s="1"/>
  <c r="I7" i="7"/>
  <c r="I9" i="1" s="1"/>
  <c r="I10" i="1" s="1"/>
  <c r="J52" i="1" l="1"/>
  <c r="H32" i="4"/>
  <c r="J38" i="1"/>
  <c r="I48" i="1"/>
  <c r="I28" i="2" s="1"/>
  <c r="J47" i="1"/>
  <c r="K47" i="1" s="1"/>
  <c r="G32" i="4"/>
  <c r="G15" i="2"/>
  <c r="G23" i="2" s="1"/>
  <c r="G25" i="2" s="1"/>
  <c r="G62" i="2" s="1"/>
  <c r="G65" i="2" s="1"/>
  <c r="G68" i="2" s="1"/>
  <c r="N7" i="7"/>
  <c r="N9" i="1" s="1"/>
  <c r="N10" i="1" s="1"/>
  <c r="J54" i="1"/>
  <c r="K54" i="1" s="1"/>
  <c r="G39" i="2"/>
  <c r="I32" i="4"/>
  <c r="H30" i="2"/>
  <c r="H31" i="2" s="1"/>
  <c r="H32" i="2" s="1"/>
  <c r="H8" i="3" s="1"/>
  <c r="E50" i="4"/>
  <c r="E51" i="4" s="1"/>
  <c r="I13" i="2"/>
  <c r="H41" i="1"/>
  <c r="I37" i="1"/>
  <c r="K5" i="1"/>
  <c r="K6" i="1" s="1"/>
  <c r="J6" i="1"/>
  <c r="J45" i="1" s="1"/>
  <c r="I18" i="1"/>
  <c r="J18" i="1" s="1"/>
  <c r="H5" i="2"/>
  <c r="H6" i="2"/>
  <c r="I19" i="1"/>
  <c r="J42" i="1"/>
  <c r="J13" i="2" s="1"/>
  <c r="K38" i="1"/>
  <c r="J36" i="2"/>
  <c r="K52" i="1"/>
  <c r="J46" i="2"/>
  <c r="J10" i="3" s="1"/>
  <c r="I48" i="2"/>
  <c r="J45" i="2"/>
  <c r="J44" i="2" s="1"/>
  <c r="M26" i="1"/>
  <c r="P5" i="7"/>
  <c r="O7" i="7"/>
  <c r="O9" i="1" s="1"/>
  <c r="O10" i="1" s="1"/>
  <c r="M7" i="7"/>
  <c r="M9" i="1" s="1"/>
  <c r="M10" i="1" s="1"/>
  <c r="J14" i="1"/>
  <c r="L7" i="7"/>
  <c r="L9" i="1" s="1"/>
  <c r="L10" i="1" s="1"/>
  <c r="K27" i="1"/>
  <c r="D21" i="5"/>
  <c r="Q57" i="2"/>
  <c r="I57" i="2"/>
  <c r="W57" i="2"/>
  <c r="O57" i="2"/>
  <c r="G57" i="2"/>
  <c r="T57" i="2"/>
  <c r="R57" i="2"/>
  <c r="J57" i="2"/>
  <c r="M57" i="2"/>
  <c r="K57" i="2"/>
  <c r="V57" i="2"/>
  <c r="H57" i="2"/>
  <c r="H58" i="2" s="1"/>
  <c r="H12" i="3" s="1"/>
  <c r="N57" i="2"/>
  <c r="U57" i="2"/>
  <c r="S57" i="2"/>
  <c r="L57" i="2"/>
  <c r="P57" i="2"/>
  <c r="H18" i="3"/>
  <c r="I47" i="2"/>
  <c r="I63" i="2"/>
  <c r="J71" i="1"/>
  <c r="I30" i="1"/>
  <c r="H14" i="2"/>
  <c r="J40" i="2"/>
  <c r="U5" i="1"/>
  <c r="T6" i="1"/>
  <c r="H35" i="1"/>
  <c r="H34" i="1"/>
  <c r="G14" i="5"/>
  <c r="G30" i="3"/>
  <c r="G31" i="3" s="1"/>
  <c r="I54" i="2"/>
  <c r="H27" i="3"/>
  <c r="H41" i="3"/>
  <c r="H66" i="2"/>
  <c r="J67" i="2" s="1"/>
  <c r="I38" i="2"/>
  <c r="J53" i="1"/>
  <c r="H20" i="2"/>
  <c r="I31" i="1"/>
  <c r="L24" i="1"/>
  <c r="M46" i="1"/>
  <c r="I24" i="3"/>
  <c r="F29" i="4"/>
  <c r="F32" i="4" s="1"/>
  <c r="H47" i="3"/>
  <c r="H11" i="2"/>
  <c r="I36" i="1"/>
  <c r="M7" i="1"/>
  <c r="L8" i="1"/>
  <c r="K23" i="1"/>
  <c r="M15" i="1"/>
  <c r="L25" i="1"/>
  <c r="K29" i="1"/>
  <c r="K28" i="1"/>
  <c r="L22" i="1"/>
  <c r="I29" i="2"/>
  <c r="I30" i="2" s="1"/>
  <c r="J48" i="1" l="1"/>
  <c r="J28" i="2" s="1"/>
  <c r="K18" i="1"/>
  <c r="L18" i="1" s="1"/>
  <c r="M18" i="1" s="1"/>
  <c r="N18" i="1" s="1"/>
  <c r="O18" i="1" s="1"/>
  <c r="P18" i="1" s="1"/>
  <c r="Q18" i="1" s="1"/>
  <c r="R18" i="1" s="1"/>
  <c r="S18" i="1" s="1"/>
  <c r="J19" i="2"/>
  <c r="T18" i="1"/>
  <c r="I5" i="2"/>
  <c r="K45" i="1"/>
  <c r="J29" i="2"/>
  <c r="J30" i="2" s="1"/>
  <c r="I20" i="2"/>
  <c r="J31" i="1"/>
  <c r="I58" i="2"/>
  <c r="I12" i="3" s="1"/>
  <c r="J5" i="2"/>
  <c r="K14" i="1"/>
  <c r="H7" i="2"/>
  <c r="L23" i="1"/>
  <c r="G16" i="5"/>
  <c r="G19" i="5" s="1"/>
  <c r="I41" i="3"/>
  <c r="I43" i="3" s="1"/>
  <c r="I8" i="5" s="1"/>
  <c r="I66" i="2"/>
  <c r="K67" i="2" s="1"/>
  <c r="I34" i="1"/>
  <c r="H10" i="2"/>
  <c r="M22" i="1"/>
  <c r="I27" i="3"/>
  <c r="J54" i="2"/>
  <c r="J58" i="2" s="1"/>
  <c r="J12" i="3" s="1"/>
  <c r="J38" i="2"/>
  <c r="K53" i="1"/>
  <c r="K48" i="1"/>
  <c r="K28" i="2" s="1"/>
  <c r="L47" i="1"/>
  <c r="L29" i="1"/>
  <c r="N46" i="1"/>
  <c r="I35" i="1"/>
  <c r="H16" i="2"/>
  <c r="I18" i="3"/>
  <c r="J47" i="2"/>
  <c r="L27" i="1"/>
  <c r="Q5" i="7"/>
  <c r="P7" i="7"/>
  <c r="P9" i="1" s="1"/>
  <c r="P10" i="1" s="1"/>
  <c r="K36" i="2"/>
  <c r="L52" i="1"/>
  <c r="K42" i="1"/>
  <c r="K13" i="2" s="1"/>
  <c r="L38" i="1"/>
  <c r="N15" i="1"/>
  <c r="J48" i="2"/>
  <c r="K46" i="2"/>
  <c r="K10" i="3" s="1"/>
  <c r="K35" i="3" s="1"/>
  <c r="K45" i="2"/>
  <c r="K44" i="2" s="1"/>
  <c r="I14" i="2"/>
  <c r="J30" i="1"/>
  <c r="J24" i="3"/>
  <c r="J63" i="2"/>
  <c r="K71" i="1"/>
  <c r="J35" i="3"/>
  <c r="F16" i="4" s="1"/>
  <c r="F7" i="4"/>
  <c r="N7" i="1"/>
  <c r="M8" i="1"/>
  <c r="M25" i="1"/>
  <c r="J36" i="1"/>
  <c r="I11" i="2"/>
  <c r="I17" i="2"/>
  <c r="M24" i="1"/>
  <c r="H43" i="3"/>
  <c r="H8" i="5" s="1"/>
  <c r="V5" i="1"/>
  <c r="U6" i="1"/>
  <c r="U18" i="1" s="1"/>
  <c r="N26" i="1"/>
  <c r="J37" i="1"/>
  <c r="I41" i="1"/>
  <c r="L28" i="1"/>
  <c r="H15" i="5"/>
  <c r="H54" i="3"/>
  <c r="H31" i="7" s="1"/>
  <c r="K40" i="2"/>
  <c r="L54" i="1"/>
  <c r="H7" i="5"/>
  <c r="H60" i="3"/>
  <c r="J19" i="1"/>
  <c r="I6" i="2"/>
  <c r="H12" i="2"/>
  <c r="H18" i="2"/>
  <c r="I31" i="2"/>
  <c r="I32" i="2" s="1"/>
  <c r="I8" i="3" s="1"/>
  <c r="I7" i="2" l="1"/>
  <c r="I5" i="3" s="1"/>
  <c r="H61" i="2"/>
  <c r="K48" i="2"/>
  <c r="L45" i="2"/>
  <c r="L44" i="2" s="1"/>
  <c r="L46" i="2"/>
  <c r="L10" i="3" s="1"/>
  <c r="J41" i="1"/>
  <c r="K37" i="1"/>
  <c r="J7" i="5"/>
  <c r="J60" i="3"/>
  <c r="K19" i="2"/>
  <c r="J27" i="3"/>
  <c r="K54" i="2"/>
  <c r="L71" i="1"/>
  <c r="K63" i="2"/>
  <c r="L36" i="2"/>
  <c r="M52" i="1"/>
  <c r="J18" i="3"/>
  <c r="K47" i="2"/>
  <c r="M29" i="1"/>
  <c r="I15" i="5"/>
  <c r="I54" i="3"/>
  <c r="I31" i="7" s="1"/>
  <c r="I7" i="5"/>
  <c r="I60" i="3"/>
  <c r="O7" i="1"/>
  <c r="N8" i="1"/>
  <c r="L48" i="1"/>
  <c r="L28" i="2" s="1"/>
  <c r="M47" i="1"/>
  <c r="N22" i="1"/>
  <c r="G18" i="5"/>
  <c r="G23" i="5" s="1"/>
  <c r="G24" i="5" s="1"/>
  <c r="L42" i="1"/>
  <c r="L19" i="2" s="1"/>
  <c r="M38" i="1"/>
  <c r="O46" i="1"/>
  <c r="O26" i="1"/>
  <c r="N24" i="1"/>
  <c r="J31" i="2"/>
  <c r="J32" i="2" s="1"/>
  <c r="J8" i="3" s="1"/>
  <c r="J41" i="3"/>
  <c r="J66" i="2"/>
  <c r="L67" i="2" s="1"/>
  <c r="M23" i="1"/>
  <c r="J20" i="2"/>
  <c r="K31" i="1"/>
  <c r="K24" i="3"/>
  <c r="R5" i="7"/>
  <c r="Q7" i="7"/>
  <c r="Q9" i="1" s="1"/>
  <c r="Q10" i="1" s="1"/>
  <c r="H21" i="2"/>
  <c r="H24" i="2" s="1"/>
  <c r="H15" i="2"/>
  <c r="H23" i="2" s="1"/>
  <c r="H35" i="2"/>
  <c r="H37" i="2" s="1"/>
  <c r="I18" i="2"/>
  <c r="I12" i="2"/>
  <c r="I61" i="2" s="1"/>
  <c r="K5" i="2"/>
  <c r="L14" i="1"/>
  <c r="K19" i="1"/>
  <c r="J6" i="2"/>
  <c r="J7" i="2" s="1"/>
  <c r="N25" i="1"/>
  <c r="L40" i="2"/>
  <c r="M54" i="1"/>
  <c r="M28" i="1"/>
  <c r="J35" i="1"/>
  <c r="I16" i="2"/>
  <c r="I21" i="2" s="1"/>
  <c r="I24" i="2" s="1"/>
  <c r="K38" i="2"/>
  <c r="L53" i="1"/>
  <c r="J34" i="1"/>
  <c r="I10" i="2"/>
  <c r="W5" i="1"/>
  <c r="W6" i="1" s="1"/>
  <c r="V6" i="1"/>
  <c r="V18" i="1" s="1"/>
  <c r="W18" i="1" s="1"/>
  <c r="K36" i="1"/>
  <c r="J17" i="2"/>
  <c r="J11" i="2"/>
  <c r="J14" i="2"/>
  <c r="K30" i="1"/>
  <c r="O15" i="1"/>
  <c r="M27" i="1"/>
  <c r="H64" i="2"/>
  <c r="H5" i="3"/>
  <c r="H39" i="2"/>
  <c r="K29" i="2"/>
  <c r="K30" i="2" s="1"/>
  <c r="L45" i="1"/>
  <c r="I39" i="2" l="1"/>
  <c r="I39" i="3" s="1"/>
  <c r="I64" i="2"/>
  <c r="H25" i="2"/>
  <c r="L13" i="2"/>
  <c r="J5" i="3"/>
  <c r="J64" i="2"/>
  <c r="J39" i="2"/>
  <c r="M46" i="2"/>
  <c r="M10" i="3" s="1"/>
  <c r="M35" i="3" s="1"/>
  <c r="M45" i="2"/>
  <c r="M44" i="2" s="1"/>
  <c r="L48" i="2"/>
  <c r="K35" i="1"/>
  <c r="J16" i="2"/>
  <c r="L19" i="1"/>
  <c r="K6" i="2"/>
  <c r="P26" i="1"/>
  <c r="K18" i="3"/>
  <c r="L47" i="2"/>
  <c r="K27" i="3"/>
  <c r="L54" i="2"/>
  <c r="L58" i="2" s="1"/>
  <c r="L12" i="3" s="1"/>
  <c r="L36" i="1"/>
  <c r="K11" i="2"/>
  <c r="K17" i="2"/>
  <c r="J15" i="5"/>
  <c r="J54" i="3"/>
  <c r="J31" i="7" s="1"/>
  <c r="L35" i="3"/>
  <c r="P7" i="1"/>
  <c r="O8" i="1"/>
  <c r="N47" i="1"/>
  <c r="M48" i="1"/>
  <c r="M28" i="2" s="1"/>
  <c r="M45" i="1"/>
  <c r="L29" i="2"/>
  <c r="L30" i="2" s="1"/>
  <c r="K7" i="2"/>
  <c r="K39" i="2" s="1"/>
  <c r="H28" i="3"/>
  <c r="H29" i="3" s="1"/>
  <c r="H39" i="3"/>
  <c r="K14" i="2"/>
  <c r="L30" i="1"/>
  <c r="I35" i="2"/>
  <c r="I15" i="2"/>
  <c r="I23" i="2" s="1"/>
  <c r="I25" i="2" s="1"/>
  <c r="N54" i="1"/>
  <c r="M40" i="2"/>
  <c r="F44" i="4"/>
  <c r="L24" i="3"/>
  <c r="J43" i="3"/>
  <c r="J8" i="5" s="1"/>
  <c r="K66" i="2"/>
  <c r="M67" i="2" s="1"/>
  <c r="K41" i="3"/>
  <c r="K43" i="3" s="1"/>
  <c r="K8" i="5" s="1"/>
  <c r="H62" i="2"/>
  <c r="H65" i="2" s="1"/>
  <c r="H68" i="2" s="1"/>
  <c r="H69" i="2" s="1"/>
  <c r="H6" i="3"/>
  <c r="H7" i="3" s="1"/>
  <c r="H9" i="3" s="1"/>
  <c r="P15" i="1"/>
  <c r="K31" i="2"/>
  <c r="K32" i="2" s="1"/>
  <c r="K8" i="3" s="1"/>
  <c r="P46" i="1"/>
  <c r="M42" i="1"/>
  <c r="M19" i="2" s="1"/>
  <c r="N38" i="1"/>
  <c r="O24" i="1"/>
  <c r="O22" i="1"/>
  <c r="K34" i="1"/>
  <c r="J10" i="2"/>
  <c r="O25" i="1"/>
  <c r="L63" i="2"/>
  <c r="M71" i="1"/>
  <c r="K41" i="1"/>
  <c r="L37" i="1"/>
  <c r="N27" i="1"/>
  <c r="N23" i="1"/>
  <c r="L5" i="2"/>
  <c r="M14" i="1"/>
  <c r="N28" i="1"/>
  <c r="S5" i="7"/>
  <c r="R7" i="7"/>
  <c r="R9" i="1" s="1"/>
  <c r="R10" i="1" s="1"/>
  <c r="M36" i="2"/>
  <c r="N52" i="1"/>
  <c r="M53" i="1"/>
  <c r="L38" i="2"/>
  <c r="L31" i="1"/>
  <c r="K20" i="2"/>
  <c r="H20" i="3"/>
  <c r="H36" i="3"/>
  <c r="K58" i="2"/>
  <c r="K12" i="3" s="1"/>
  <c r="N29" i="1"/>
  <c r="J12" i="2"/>
  <c r="J18" i="2"/>
  <c r="I28" i="3" l="1"/>
  <c r="I29" i="3" s="1"/>
  <c r="M13" i="2"/>
  <c r="M48" i="2"/>
  <c r="N45" i="2"/>
  <c r="N44" i="2" s="1"/>
  <c r="N46" i="2"/>
  <c r="N10" i="3" s="1"/>
  <c r="N35" i="3" s="1"/>
  <c r="O23" i="1"/>
  <c r="P22" i="1"/>
  <c r="M24" i="3"/>
  <c r="N48" i="1"/>
  <c r="N28" i="2" s="1"/>
  <c r="O47" i="1"/>
  <c r="F37" i="4"/>
  <c r="P8" i="1"/>
  <c r="Q7" i="1"/>
  <c r="Q26" i="1"/>
  <c r="Q46" i="1"/>
  <c r="O28" i="1"/>
  <c r="K5" i="3"/>
  <c r="K64" i="2"/>
  <c r="M36" i="1"/>
  <c r="L17" i="2"/>
  <c r="L11" i="2"/>
  <c r="K39" i="3"/>
  <c r="K28" i="3"/>
  <c r="F48" i="4" s="1"/>
  <c r="M31" i="1"/>
  <c r="L20" i="2"/>
  <c r="J15" i="2"/>
  <c r="J23" i="2" s="1"/>
  <c r="J35" i="2"/>
  <c r="N40" i="2"/>
  <c r="O54" i="1"/>
  <c r="P25" i="1"/>
  <c r="L7" i="5"/>
  <c r="L60" i="3"/>
  <c r="M19" i="1"/>
  <c r="L6" i="2"/>
  <c r="L7" i="2" s="1"/>
  <c r="O29" i="1"/>
  <c r="N14" i="1"/>
  <c r="M5" i="2"/>
  <c r="K12" i="2"/>
  <c r="K18" i="2"/>
  <c r="L34" i="1"/>
  <c r="K10" i="2"/>
  <c r="L31" i="2"/>
  <c r="L32" i="2" s="1"/>
  <c r="L8" i="3" s="1"/>
  <c r="I6" i="3"/>
  <c r="I7" i="3" s="1"/>
  <c r="I9" i="3" s="1"/>
  <c r="I62" i="2"/>
  <c r="I65" i="2" s="1"/>
  <c r="I68" i="2" s="1"/>
  <c r="I69" i="2" s="1"/>
  <c r="L27" i="3"/>
  <c r="M54" i="2"/>
  <c r="M58" i="2"/>
  <c r="M12" i="3" s="1"/>
  <c r="J21" i="2"/>
  <c r="J24" i="2" s="1"/>
  <c r="J39" i="3"/>
  <c r="J28" i="3"/>
  <c r="J29" i="3" s="1"/>
  <c r="O27" i="1"/>
  <c r="H21" i="3"/>
  <c r="H37" i="3"/>
  <c r="J61" i="2"/>
  <c r="L41" i="1"/>
  <c r="M37" i="1"/>
  <c r="M38" i="2"/>
  <c r="N53" i="1"/>
  <c r="M63" i="2"/>
  <c r="N71" i="1"/>
  <c r="H27" i="7"/>
  <c r="H11" i="3"/>
  <c r="N42" i="1"/>
  <c r="N19" i="2" s="1"/>
  <c r="O38" i="1"/>
  <c r="Q15" i="1"/>
  <c r="F26" i="4"/>
  <c r="F27" i="4" s="1"/>
  <c r="I41" i="2"/>
  <c r="I37" i="2"/>
  <c r="M29" i="2"/>
  <c r="M30" i="2" s="1"/>
  <c r="N45" i="1"/>
  <c r="K15" i="5"/>
  <c r="F46" i="4"/>
  <c r="K54" i="3"/>
  <c r="K31" i="7" s="1"/>
  <c r="L35" i="1"/>
  <c r="K16" i="2"/>
  <c r="F20" i="4"/>
  <c r="T5" i="7"/>
  <c r="S7" i="7"/>
  <c r="S9" i="1" s="1"/>
  <c r="S10" i="1" s="1"/>
  <c r="P24" i="1"/>
  <c r="K7" i="5"/>
  <c r="K60" i="3"/>
  <c r="F9" i="4"/>
  <c r="N36" i="2"/>
  <c r="O52" i="1"/>
  <c r="L14" i="2"/>
  <c r="M30" i="1"/>
  <c r="M47" i="2"/>
  <c r="L18" i="3"/>
  <c r="L41" i="3"/>
  <c r="L66" i="2"/>
  <c r="N67" i="2" s="1"/>
  <c r="K29" i="3" l="1"/>
  <c r="K21" i="2"/>
  <c r="K24" i="2" s="1"/>
  <c r="K61" i="2"/>
  <c r="J25" i="2"/>
  <c r="J6" i="3" s="1"/>
  <c r="I37" i="3"/>
  <c r="I21" i="3"/>
  <c r="M27" i="3"/>
  <c r="N54" i="2"/>
  <c r="N19" i="1"/>
  <c r="M6" i="2"/>
  <c r="M7" i="2" s="1"/>
  <c r="N13" i="2"/>
  <c r="P23" i="1"/>
  <c r="N38" i="2"/>
  <c r="O53" i="1"/>
  <c r="P27" i="1"/>
  <c r="J62" i="2"/>
  <c r="J65" i="2" s="1"/>
  <c r="J68" i="2" s="1"/>
  <c r="J69" i="2" s="1"/>
  <c r="N36" i="1"/>
  <c r="M11" i="2"/>
  <c r="M17" i="2"/>
  <c r="P47" i="1"/>
  <c r="O48" i="1"/>
  <c r="O28" i="2" s="1"/>
  <c r="I38" i="3"/>
  <c r="I19" i="3"/>
  <c r="L43" i="3"/>
  <c r="L8" i="5" s="1"/>
  <c r="O36" i="2"/>
  <c r="P52" i="1"/>
  <c r="U5" i="7"/>
  <c r="T7" i="7"/>
  <c r="T9" i="1" s="1"/>
  <c r="T10" i="1" s="1"/>
  <c r="R15" i="1"/>
  <c r="L5" i="3"/>
  <c r="L64" i="2"/>
  <c r="L15" i="5"/>
  <c r="L54" i="3"/>
  <c r="L31" i="7" s="1"/>
  <c r="J41" i="2"/>
  <c r="J37" i="2"/>
  <c r="R46" i="1"/>
  <c r="O14" i="1"/>
  <c r="N5" i="2"/>
  <c r="N63" i="2"/>
  <c r="O71" i="1"/>
  <c r="N31" i="1"/>
  <c r="M20" i="2"/>
  <c r="R26" i="1"/>
  <c r="I27" i="7"/>
  <c r="I11" i="3"/>
  <c r="F3" i="4"/>
  <c r="R7" i="1"/>
  <c r="Q8" i="1"/>
  <c r="N24" i="3"/>
  <c r="M18" i="3"/>
  <c r="N47" i="2"/>
  <c r="P38" i="1"/>
  <c r="O42" i="1"/>
  <c r="O19" i="2" s="1"/>
  <c r="L62" i="3"/>
  <c r="L37" i="7" s="1"/>
  <c r="K62" i="3"/>
  <c r="K37" i="7" s="1"/>
  <c r="N29" i="2"/>
  <c r="N30" i="2" s="1"/>
  <c r="O45" i="1"/>
  <c r="M41" i="1"/>
  <c r="N37" i="1"/>
  <c r="L39" i="2"/>
  <c r="M31" i="2"/>
  <c r="M32" i="2" s="1"/>
  <c r="M8" i="3" s="1"/>
  <c r="M35" i="1"/>
  <c r="L16" i="2"/>
  <c r="H13" i="3"/>
  <c r="L12" i="2"/>
  <c r="L18" i="2"/>
  <c r="P29" i="1"/>
  <c r="Q25" i="1"/>
  <c r="N30" i="1"/>
  <c r="M14" i="2"/>
  <c r="Q24" i="1"/>
  <c r="I36" i="3"/>
  <c r="I20" i="3"/>
  <c r="K15" i="2"/>
  <c r="K23" i="2" s="1"/>
  <c r="K25" i="2" s="1"/>
  <c r="K35" i="2"/>
  <c r="M41" i="3"/>
  <c r="M43" i="3" s="1"/>
  <c r="M8" i="5" s="1"/>
  <c r="M66" i="2"/>
  <c r="O67" i="2" s="1"/>
  <c r="M60" i="3"/>
  <c r="M7" i="5"/>
  <c r="M34" i="1"/>
  <c r="L10" i="2"/>
  <c r="O40" i="2"/>
  <c r="P54" i="1"/>
  <c r="P28" i="1"/>
  <c r="Q22" i="1"/>
  <c r="O46" i="2"/>
  <c r="O10" i="3" s="1"/>
  <c r="O45" i="2"/>
  <c r="O44" i="2" s="1"/>
  <c r="N48" i="2"/>
  <c r="N31" i="2" l="1"/>
  <c r="N32" i="2"/>
  <c r="N8" i="3" s="1"/>
  <c r="J37" i="3"/>
  <c r="J21" i="3"/>
  <c r="N27" i="3"/>
  <c r="O54" i="2"/>
  <c r="O58" i="2"/>
  <c r="O12" i="3" s="1"/>
  <c r="R8" i="1"/>
  <c r="S7" i="1"/>
  <c r="S15" i="1"/>
  <c r="Q28" i="1"/>
  <c r="M15" i="5"/>
  <c r="M54" i="3"/>
  <c r="M31" i="7" s="1"/>
  <c r="O13" i="2"/>
  <c r="H14" i="3"/>
  <c r="M12" i="2"/>
  <c r="M61" i="2" s="1"/>
  <c r="M18" i="2"/>
  <c r="P42" i="1"/>
  <c r="P13" i="2" s="1"/>
  <c r="Q38" i="1"/>
  <c r="N20" i="2"/>
  <c r="O31" i="1"/>
  <c r="V5" i="7"/>
  <c r="U7" i="7"/>
  <c r="U9" i="1" s="1"/>
  <c r="U10" i="1" s="1"/>
  <c r="P48" i="1"/>
  <c r="P28" i="2" s="1"/>
  <c r="Q47" i="1"/>
  <c r="Q27" i="1"/>
  <c r="N41" i="1"/>
  <c r="O37" i="1"/>
  <c r="N14" i="2"/>
  <c r="O30" i="1"/>
  <c r="O29" i="2"/>
  <c r="O30" i="2" s="1"/>
  <c r="P45" i="1"/>
  <c r="N18" i="3"/>
  <c r="O47" i="2"/>
  <c r="I13" i="3"/>
  <c r="O5" i="2"/>
  <c r="P14" i="1"/>
  <c r="P36" i="2"/>
  <c r="Q52" i="1"/>
  <c r="F73" i="4"/>
  <c r="M64" i="2"/>
  <c r="M5" i="3"/>
  <c r="N41" i="3"/>
  <c r="N66" i="2"/>
  <c r="P67" i="2" s="1"/>
  <c r="K37" i="2"/>
  <c r="K41" i="2"/>
  <c r="R25" i="1"/>
  <c r="L21" i="2"/>
  <c r="L24" i="2" s="1"/>
  <c r="S46" i="1"/>
  <c r="O38" i="2"/>
  <c r="P53" i="1"/>
  <c r="R22" i="1"/>
  <c r="R24" i="1"/>
  <c r="L28" i="3"/>
  <c r="L29" i="3" s="1"/>
  <c r="L39" i="3"/>
  <c r="L61" i="2"/>
  <c r="Q23" i="1"/>
  <c r="P40" i="2"/>
  <c r="Q54" i="1"/>
  <c r="O48" i="2"/>
  <c r="P46" i="2"/>
  <c r="P10" i="3" s="1"/>
  <c r="P45" i="2"/>
  <c r="P44" i="2" s="1"/>
  <c r="L35" i="2"/>
  <c r="L15" i="2"/>
  <c r="L23" i="2" s="1"/>
  <c r="K6" i="3"/>
  <c r="K7" i="3" s="1"/>
  <c r="K9" i="3" s="1"/>
  <c r="K62" i="2"/>
  <c r="K65" i="2" s="1"/>
  <c r="K68" i="2" s="1"/>
  <c r="K69" i="2" s="1"/>
  <c r="N35" i="1"/>
  <c r="M16" i="2"/>
  <c r="M21" i="2" s="1"/>
  <c r="M24" i="2" s="1"/>
  <c r="M62" i="3"/>
  <c r="M37" i="7" s="1"/>
  <c r="O24" i="3"/>
  <c r="M39" i="2"/>
  <c r="O63" i="2"/>
  <c r="P71" i="1"/>
  <c r="O36" i="1"/>
  <c r="N17" i="2"/>
  <c r="N11" i="2"/>
  <c r="O35" i="3"/>
  <c r="G16" i="4" s="1"/>
  <c r="G7" i="4"/>
  <c r="N34" i="1"/>
  <c r="M10" i="2"/>
  <c r="Q29" i="1"/>
  <c r="S26" i="1"/>
  <c r="J36" i="3"/>
  <c r="J20" i="3"/>
  <c r="F4" i="4"/>
  <c r="J7" i="3"/>
  <c r="J9" i="3" s="1"/>
  <c r="O19" i="1"/>
  <c r="N6" i="2"/>
  <c r="N7" i="2" s="1"/>
  <c r="J38" i="3"/>
  <c r="J19" i="3"/>
  <c r="N58" i="2"/>
  <c r="N12" i="3" s="1"/>
  <c r="K37" i="3" l="1"/>
  <c r="K21" i="3"/>
  <c r="F40" i="4" s="1"/>
  <c r="N5" i="3"/>
  <c r="N64" i="2"/>
  <c r="N39" i="2"/>
  <c r="O34" i="1"/>
  <c r="N10" i="2"/>
  <c r="P63" i="2"/>
  <c r="Q71" i="1"/>
  <c r="O41" i="3"/>
  <c r="O43" i="3" s="1"/>
  <c r="O8" i="5" s="1"/>
  <c r="O66" i="2"/>
  <c r="Q67" i="2" s="1"/>
  <c r="K36" i="3"/>
  <c r="F19" i="4" s="1"/>
  <c r="K20" i="3"/>
  <c r="F38" i="4" s="1"/>
  <c r="R27" i="1"/>
  <c r="K11" i="3"/>
  <c r="K27" i="7"/>
  <c r="Q40" i="2"/>
  <c r="R54" i="1"/>
  <c r="S24" i="1"/>
  <c r="Q36" i="2"/>
  <c r="R52" i="1"/>
  <c r="P29" i="2"/>
  <c r="P30" i="2" s="1"/>
  <c r="Q45" i="1"/>
  <c r="Q42" i="1"/>
  <c r="Q19" i="2" s="1"/>
  <c r="R38" i="1"/>
  <c r="S8" i="1"/>
  <c r="T7" i="1"/>
  <c r="O35" i="1"/>
  <c r="N16" i="2"/>
  <c r="O20" i="2"/>
  <c r="P31" i="1"/>
  <c r="M39" i="3"/>
  <c r="M28" i="3"/>
  <c r="M29" i="3" s="1"/>
  <c r="N43" i="3"/>
  <c r="N8" i="5" s="1"/>
  <c r="Q48" i="1"/>
  <c r="Q28" i="2" s="1"/>
  <c r="R47" i="1"/>
  <c r="P47" i="2"/>
  <c r="O18" i="3"/>
  <c r="L25" i="2"/>
  <c r="T46" i="1"/>
  <c r="T26" i="1"/>
  <c r="G44" i="4"/>
  <c r="P24" i="3"/>
  <c r="L37" i="2"/>
  <c r="L41" i="2"/>
  <c r="S22" i="1"/>
  <c r="Q14" i="1"/>
  <c r="P5" i="2"/>
  <c r="O14" i="2"/>
  <c r="P30" i="1"/>
  <c r="K38" i="3"/>
  <c r="F21" i="4" s="1"/>
  <c r="K19" i="3"/>
  <c r="N12" i="2"/>
  <c r="N18" i="2"/>
  <c r="O7" i="5"/>
  <c r="O60" i="3"/>
  <c r="F22" i="4"/>
  <c r="R29" i="1"/>
  <c r="P38" i="2"/>
  <c r="Q53" i="1"/>
  <c r="S25" i="1"/>
  <c r="O31" i="2"/>
  <c r="O32" i="2" s="1"/>
  <c r="O8" i="3" s="1"/>
  <c r="G5" i="4" s="1"/>
  <c r="W5" i="7"/>
  <c r="W7" i="7" s="1"/>
  <c r="W9" i="1" s="1"/>
  <c r="W10" i="1" s="1"/>
  <c r="V7" i="7"/>
  <c r="V9" i="1" s="1"/>
  <c r="V10" i="1" s="1"/>
  <c r="R28" i="1"/>
  <c r="O27" i="3"/>
  <c r="P54" i="2"/>
  <c r="P58" i="2" s="1"/>
  <c r="P12" i="3" s="1"/>
  <c r="M15" i="2"/>
  <c r="M23" i="2" s="1"/>
  <c r="M25" i="2" s="1"/>
  <c r="M35" i="2"/>
  <c r="P48" i="2"/>
  <c r="Q45" i="2"/>
  <c r="Q44" i="2" s="1"/>
  <c r="Q46" i="2"/>
  <c r="Q10" i="3" s="1"/>
  <c r="Q35" i="3" s="1"/>
  <c r="T15" i="1"/>
  <c r="P19" i="1"/>
  <c r="O6" i="2"/>
  <c r="O7" i="2" s="1"/>
  <c r="R23" i="1"/>
  <c r="J27" i="7"/>
  <c r="J11" i="3"/>
  <c r="K55" i="3"/>
  <c r="K32" i="7" s="1"/>
  <c r="N7" i="5"/>
  <c r="N60" i="3"/>
  <c r="G9" i="4"/>
  <c r="P19" i="2"/>
  <c r="P36" i="1"/>
  <c r="O17" i="2"/>
  <c r="O11" i="2"/>
  <c r="P35" i="3"/>
  <c r="O41" i="1"/>
  <c r="P37" i="1"/>
  <c r="H15" i="3"/>
  <c r="N15" i="5"/>
  <c r="N54" i="3"/>
  <c r="N31" i="7" s="1"/>
  <c r="Q13" i="2" l="1"/>
  <c r="G26" i="4"/>
  <c r="G27" i="4" s="1"/>
  <c r="F18" i="4"/>
  <c r="O5" i="3"/>
  <c r="G3" i="4" s="1"/>
  <c r="O64" i="2"/>
  <c r="O39" i="2"/>
  <c r="Q48" i="2"/>
  <c r="R46" i="2"/>
  <c r="R10" i="3" s="1"/>
  <c r="R45" i="2"/>
  <c r="R44" i="2" s="1"/>
  <c r="N62" i="3"/>
  <c r="N37" i="7" s="1"/>
  <c r="O62" i="3"/>
  <c r="O37" i="7" s="1"/>
  <c r="M41" i="2"/>
  <c r="M37" i="2"/>
  <c r="N39" i="3"/>
  <c r="N28" i="3"/>
  <c r="N29" i="3" s="1"/>
  <c r="Q19" i="1"/>
  <c r="P6" i="2"/>
  <c r="P7" i="2" s="1"/>
  <c r="S29" i="1"/>
  <c r="Q24" i="3"/>
  <c r="U15" i="1"/>
  <c r="R14" i="1"/>
  <c r="Q5" i="2"/>
  <c r="G37" i="4"/>
  <c r="O12" i="2"/>
  <c r="O18" i="2"/>
  <c r="M62" i="2"/>
  <c r="M65" i="2" s="1"/>
  <c r="M68" i="2" s="1"/>
  <c r="M6" i="3"/>
  <c r="M7" i="3" s="1"/>
  <c r="M9" i="3" s="1"/>
  <c r="R42" i="1"/>
  <c r="R19" i="2" s="1"/>
  <c r="S38" i="1"/>
  <c r="N61" i="2"/>
  <c r="U26" i="1"/>
  <c r="P18" i="3"/>
  <c r="Q47" i="2"/>
  <c r="P20" i="2"/>
  <c r="Q31" i="1"/>
  <c r="R45" i="1"/>
  <c r="Q29" i="2"/>
  <c r="Q54" i="2"/>
  <c r="Q58" i="2" s="1"/>
  <c r="Q12" i="3" s="1"/>
  <c r="P27" i="3"/>
  <c r="J13" i="3"/>
  <c r="K57" i="3"/>
  <c r="K34" i="7" s="1"/>
  <c r="G46" i="4"/>
  <c r="O15" i="5"/>
  <c r="O54" i="3"/>
  <c r="O31" i="7" s="1"/>
  <c r="F39" i="4"/>
  <c r="K13" i="3"/>
  <c r="Q63" i="2"/>
  <c r="R71" i="1"/>
  <c r="L6" i="3"/>
  <c r="L62" i="2"/>
  <c r="L65" i="2" s="1"/>
  <c r="L68" i="2" s="1"/>
  <c r="L69" i="2" s="1"/>
  <c r="S54" i="1"/>
  <c r="R40" i="2"/>
  <c r="P7" i="5"/>
  <c r="P60" i="3"/>
  <c r="H25" i="3"/>
  <c r="H34" i="3"/>
  <c r="Q36" i="1"/>
  <c r="P17" i="2"/>
  <c r="P11" i="2"/>
  <c r="R13" i="2"/>
  <c r="S28" i="1"/>
  <c r="T25" i="1"/>
  <c r="T22" i="1"/>
  <c r="R48" i="1"/>
  <c r="R28" i="2" s="1"/>
  <c r="S47" i="1"/>
  <c r="N21" i="2"/>
  <c r="N24" i="2" s="1"/>
  <c r="S52" i="1"/>
  <c r="R36" i="2"/>
  <c r="S27" i="1"/>
  <c r="P41" i="1"/>
  <c r="Q37" i="1"/>
  <c r="S23" i="1"/>
  <c r="P31" i="2"/>
  <c r="P32" i="2"/>
  <c r="P8" i="3" s="1"/>
  <c r="L38" i="3"/>
  <c r="L19" i="3"/>
  <c r="U46" i="1"/>
  <c r="Q30" i="2"/>
  <c r="P35" i="1"/>
  <c r="O16" i="2"/>
  <c r="O21" i="2" s="1"/>
  <c r="O24" i="2" s="1"/>
  <c r="N35" i="2"/>
  <c r="N15" i="2"/>
  <c r="N23" i="2" s="1"/>
  <c r="P41" i="3"/>
  <c r="P66" i="2"/>
  <c r="R67" i="2" s="1"/>
  <c r="Q38" i="2"/>
  <c r="R53" i="1"/>
  <c r="P14" i="2"/>
  <c r="Q30" i="1"/>
  <c r="L36" i="3"/>
  <c r="L20" i="3"/>
  <c r="U7" i="1"/>
  <c r="T8" i="1"/>
  <c r="T24" i="1"/>
  <c r="P34" i="1"/>
  <c r="O10" i="2"/>
  <c r="R48" i="2" l="1"/>
  <c r="S46" i="2"/>
  <c r="S10" i="3" s="1"/>
  <c r="S35" i="3" s="1"/>
  <c r="S45" i="2"/>
  <c r="S44" i="2" s="1"/>
  <c r="U25" i="1"/>
  <c r="I14" i="3"/>
  <c r="H26" i="3"/>
  <c r="R63" i="2"/>
  <c r="S71" i="1"/>
  <c r="P64" i="2"/>
  <c r="P5" i="3"/>
  <c r="Q7" i="5"/>
  <c r="Q60" i="3"/>
  <c r="T29" i="1"/>
  <c r="P39" i="2"/>
  <c r="R35" i="3"/>
  <c r="H16" i="4" s="1"/>
  <c r="H7" i="4"/>
  <c r="R24" i="3"/>
  <c r="Q34" i="1"/>
  <c r="P10" i="2"/>
  <c r="S36" i="2"/>
  <c r="T52" i="1"/>
  <c r="T28" i="1"/>
  <c r="U24" i="1"/>
  <c r="R38" i="2"/>
  <c r="S53" i="1"/>
  <c r="Q35" i="1"/>
  <c r="P16" i="2"/>
  <c r="T23" i="1"/>
  <c r="P15" i="5"/>
  <c r="P54" i="3"/>
  <c r="P31" i="7" s="1"/>
  <c r="V26" i="1"/>
  <c r="M36" i="3"/>
  <c r="M20" i="3"/>
  <c r="Q41" i="3"/>
  <c r="Q43" i="3" s="1"/>
  <c r="Q8" i="5" s="1"/>
  <c r="Q66" i="2"/>
  <c r="S67" i="2" s="1"/>
  <c r="N37" i="2"/>
  <c r="N41" i="2"/>
  <c r="Q27" i="3"/>
  <c r="R54" i="2"/>
  <c r="R58" i="2" s="1"/>
  <c r="R12" i="3" s="1"/>
  <c r="O61" i="2"/>
  <c r="R5" i="2"/>
  <c r="S14" i="1"/>
  <c r="M38" i="3"/>
  <c r="M19" i="3"/>
  <c r="Q14" i="2"/>
  <c r="R30" i="1"/>
  <c r="R47" i="2"/>
  <c r="Q18" i="3"/>
  <c r="S48" i="1"/>
  <c r="S28" i="2" s="1"/>
  <c r="T47" i="1"/>
  <c r="G73" i="4"/>
  <c r="R19" i="1"/>
  <c r="Q6" i="2"/>
  <c r="Q7" i="2" s="1"/>
  <c r="O39" i="3"/>
  <c r="G20" i="4" s="1"/>
  <c r="O28" i="3"/>
  <c r="V46" i="1"/>
  <c r="P62" i="3"/>
  <c r="P37" i="7" s="1"/>
  <c r="O35" i="2"/>
  <c r="O15" i="2"/>
  <c r="O23" i="2" s="1"/>
  <c r="O25" i="2" s="1"/>
  <c r="M27" i="7"/>
  <c r="M11" i="3"/>
  <c r="Q31" i="2"/>
  <c r="Q32" i="2" s="1"/>
  <c r="Q8" i="3" s="1"/>
  <c r="R37" i="1"/>
  <c r="Q41" i="1"/>
  <c r="S40" i="2"/>
  <c r="T54" i="1"/>
  <c r="V7" i="1"/>
  <c r="U8" i="1"/>
  <c r="P43" i="3"/>
  <c r="P8" i="5" s="1"/>
  <c r="P12" i="2"/>
  <c r="P18" i="2"/>
  <c r="R36" i="1"/>
  <c r="Q17" i="2"/>
  <c r="Q11" i="2"/>
  <c r="L37" i="3"/>
  <c r="L21" i="3"/>
  <c r="M69" i="2"/>
  <c r="R29" i="2"/>
  <c r="R30" i="2" s="1"/>
  <c r="S45" i="1"/>
  <c r="T38" i="1"/>
  <c r="S42" i="1"/>
  <c r="S19" i="2" s="1"/>
  <c r="V15" i="1"/>
  <c r="N25" i="2"/>
  <c r="T27" i="1"/>
  <c r="U22" i="1"/>
  <c r="H40" i="3"/>
  <c r="L7" i="3"/>
  <c r="L9" i="3" s="1"/>
  <c r="Q20" i="2"/>
  <c r="R31" i="1"/>
  <c r="P61" i="2" l="1"/>
  <c r="P21" i="2"/>
  <c r="P24" i="2" s="1"/>
  <c r="S13" i="2"/>
  <c r="R31" i="2"/>
  <c r="R32" i="2"/>
  <c r="R8" i="3" s="1"/>
  <c r="W15" i="1"/>
  <c r="R7" i="5"/>
  <c r="R60" i="3"/>
  <c r="N36" i="3"/>
  <c r="N20" i="3"/>
  <c r="T36" i="2"/>
  <c r="U52" i="1"/>
  <c r="R20" i="2"/>
  <c r="S31" i="1"/>
  <c r="T42" i="1"/>
  <c r="T19" i="2" s="1"/>
  <c r="U38" i="1"/>
  <c r="U54" i="1"/>
  <c r="T40" i="2"/>
  <c r="M13" i="3"/>
  <c r="W46" i="1"/>
  <c r="Q15" i="5"/>
  <c r="Q54" i="3"/>
  <c r="Q31" i="7" s="1"/>
  <c r="T53" i="1"/>
  <c r="S38" i="2"/>
  <c r="P35" i="2"/>
  <c r="P15" i="2"/>
  <c r="P23" i="2" s="1"/>
  <c r="P25" i="2" s="1"/>
  <c r="U29" i="1"/>
  <c r="G48" i="4"/>
  <c r="O29" i="3"/>
  <c r="T48" i="1"/>
  <c r="T28" i="2" s="1"/>
  <c r="U47" i="1"/>
  <c r="S24" i="3"/>
  <c r="S63" i="2"/>
  <c r="T71" i="1"/>
  <c r="S29" i="2"/>
  <c r="T45" i="1"/>
  <c r="R34" i="1"/>
  <c r="Q10" i="2"/>
  <c r="L27" i="7"/>
  <c r="L11" i="3"/>
  <c r="L55" i="3"/>
  <c r="L32" i="7" s="1"/>
  <c r="M55" i="3"/>
  <c r="M32" i="7" s="1"/>
  <c r="Q12" i="2"/>
  <c r="Q18" i="2"/>
  <c r="O62" i="2"/>
  <c r="O65" i="2" s="1"/>
  <c r="O68" i="2" s="1"/>
  <c r="O6" i="3"/>
  <c r="O7" i="3" s="1"/>
  <c r="O9" i="3" s="1"/>
  <c r="S30" i="2"/>
  <c r="S5" i="2"/>
  <c r="T14" i="1"/>
  <c r="Q5" i="3"/>
  <c r="Q64" i="2"/>
  <c r="V24" i="1"/>
  <c r="Q62" i="3"/>
  <c r="Q37" i="7" s="1"/>
  <c r="U27" i="1"/>
  <c r="S36" i="1"/>
  <c r="R17" i="2"/>
  <c r="R11" i="2"/>
  <c r="N6" i="3"/>
  <c r="N62" i="2"/>
  <c r="N65" i="2" s="1"/>
  <c r="N68" i="2" s="1"/>
  <c r="N69" i="2" s="1"/>
  <c r="M37" i="3"/>
  <c r="M21" i="3"/>
  <c r="S37" i="1"/>
  <c r="R41" i="1"/>
  <c r="O41" i="2"/>
  <c r="O37" i="2"/>
  <c r="Q39" i="2"/>
  <c r="W26" i="1"/>
  <c r="U23" i="1"/>
  <c r="U28" i="1"/>
  <c r="H14" i="5"/>
  <c r="H30" i="3"/>
  <c r="S48" i="2"/>
  <c r="T46" i="2"/>
  <c r="T10" i="3" s="1"/>
  <c r="T45" i="2"/>
  <c r="T44" i="2" s="1"/>
  <c r="S19" i="1"/>
  <c r="R6" i="2"/>
  <c r="R7" i="2" s="1"/>
  <c r="R39" i="2" s="1"/>
  <c r="N38" i="3"/>
  <c r="N19" i="3"/>
  <c r="H6" i="5"/>
  <c r="H5" i="5" s="1"/>
  <c r="H48" i="3"/>
  <c r="H50" i="3" s="1"/>
  <c r="H59" i="3"/>
  <c r="I15" i="3"/>
  <c r="R18" i="3"/>
  <c r="S47" i="2"/>
  <c r="V22" i="1"/>
  <c r="W7" i="1"/>
  <c r="W8" i="1" s="1"/>
  <c r="V8" i="1"/>
  <c r="R14" i="2"/>
  <c r="S30" i="1"/>
  <c r="R27" i="3"/>
  <c r="S54" i="2"/>
  <c r="S58" i="2"/>
  <c r="S12" i="3" s="1"/>
  <c r="R35" i="1"/>
  <c r="Q16" i="2"/>
  <c r="Q21" i="2" s="1"/>
  <c r="Q24" i="2" s="1"/>
  <c r="P28" i="3"/>
  <c r="P29" i="3" s="1"/>
  <c r="P39" i="3"/>
  <c r="V25" i="1"/>
  <c r="R41" i="3"/>
  <c r="R66" i="2"/>
  <c r="T67" i="2" s="1"/>
  <c r="Q61" i="2" l="1"/>
  <c r="U45" i="2"/>
  <c r="U44" i="2" s="1"/>
  <c r="U46" i="2"/>
  <c r="U10" i="3" s="1"/>
  <c r="U35" i="3" s="1"/>
  <c r="T48" i="2"/>
  <c r="T30" i="1"/>
  <c r="S14" i="2"/>
  <c r="H16" i="5"/>
  <c r="H19" i="5" s="1"/>
  <c r="R64" i="2"/>
  <c r="R5" i="3"/>
  <c r="U48" i="1"/>
  <c r="U28" i="2" s="1"/>
  <c r="V47" i="1"/>
  <c r="P62" i="2"/>
  <c r="P65" i="2" s="1"/>
  <c r="P68" i="2" s="1"/>
  <c r="P6" i="3"/>
  <c r="R62" i="3"/>
  <c r="R37" i="7" s="1"/>
  <c r="I34" i="3"/>
  <c r="I25" i="3"/>
  <c r="V28" i="1"/>
  <c r="Q39" i="3"/>
  <c r="Q28" i="3"/>
  <c r="Q29" i="3" s="1"/>
  <c r="S31" i="2"/>
  <c r="S32" i="2" s="1"/>
  <c r="S8" i="3" s="1"/>
  <c r="H5" i="4" s="1"/>
  <c r="T29" i="2"/>
  <c r="T30" i="2" s="1"/>
  <c r="U45" i="1"/>
  <c r="P37" i="2"/>
  <c r="P41" i="2"/>
  <c r="S20" i="2"/>
  <c r="T31" i="1"/>
  <c r="T19" i="1"/>
  <c r="S6" i="2"/>
  <c r="S7" i="2" s="1"/>
  <c r="T13" i="2"/>
  <c r="O36" i="3"/>
  <c r="O20" i="3"/>
  <c r="G38" i="4" s="1"/>
  <c r="N7" i="3"/>
  <c r="N9" i="3" s="1"/>
  <c r="G4" i="4"/>
  <c r="G6" i="4" s="1"/>
  <c r="O27" i="7"/>
  <c r="O11" i="3"/>
  <c r="L13" i="3"/>
  <c r="L57" i="3"/>
  <c r="L34" i="7" s="1"/>
  <c r="M57" i="3"/>
  <c r="M34" i="7" s="1"/>
  <c r="O38" i="3"/>
  <c r="O19" i="3"/>
  <c r="R39" i="3"/>
  <c r="R28" i="3"/>
  <c r="R29" i="3" s="1"/>
  <c r="T63" i="2"/>
  <c r="U71" i="1"/>
  <c r="T38" i="2"/>
  <c r="U53" i="1"/>
  <c r="U36" i="2"/>
  <c r="V52" i="1"/>
  <c r="R12" i="2"/>
  <c r="R18" i="2"/>
  <c r="W24" i="1"/>
  <c r="S35" i="1"/>
  <c r="R16" i="2"/>
  <c r="T35" i="3"/>
  <c r="H28" i="7"/>
  <c r="I49" i="3"/>
  <c r="H22" i="3"/>
  <c r="H23" i="3" s="1"/>
  <c r="H31" i="3" s="1"/>
  <c r="V23" i="1"/>
  <c r="R43" i="3"/>
  <c r="R8" i="5" s="1"/>
  <c r="H26" i="4"/>
  <c r="H27" i="4" s="1"/>
  <c r="W22" i="1"/>
  <c r="S41" i="1"/>
  <c r="T37" i="1"/>
  <c r="Q15" i="2"/>
  <c r="Q23" i="2" s="1"/>
  <c r="Q25" i="2" s="1"/>
  <c r="Q35" i="2"/>
  <c r="T24" i="3"/>
  <c r="H44" i="4"/>
  <c r="S27" i="3"/>
  <c r="T54" i="2"/>
  <c r="S18" i="3"/>
  <c r="T47" i="2"/>
  <c r="S66" i="2"/>
  <c r="U67" i="2" s="1"/>
  <c r="S41" i="3"/>
  <c r="S43" i="3" s="1"/>
  <c r="S8" i="5" s="1"/>
  <c r="N37" i="3"/>
  <c r="N21" i="3"/>
  <c r="O69" i="2"/>
  <c r="T36" i="1"/>
  <c r="S11" i="2"/>
  <c r="S17" i="2"/>
  <c r="S34" i="1"/>
  <c r="R10" i="2"/>
  <c r="U40" i="2"/>
  <c r="V54" i="1"/>
  <c r="G19" i="4"/>
  <c r="S7" i="5"/>
  <c r="S60" i="3"/>
  <c r="S62" i="3" s="1"/>
  <c r="S37" i="7" s="1"/>
  <c r="W25" i="1"/>
  <c r="R15" i="5"/>
  <c r="R54" i="3"/>
  <c r="R31" i="7" s="1"/>
  <c r="G21" i="4"/>
  <c r="V27" i="1"/>
  <c r="T5" i="2"/>
  <c r="U14" i="1"/>
  <c r="V29" i="1"/>
  <c r="V38" i="1"/>
  <c r="U42" i="1"/>
  <c r="U19" i="2" s="1"/>
  <c r="H9" i="4"/>
  <c r="H51" i="3" l="1"/>
  <c r="S5" i="3"/>
  <c r="S64" i="2"/>
  <c r="S39" i="2"/>
  <c r="U48" i="2"/>
  <c r="V46" i="2"/>
  <c r="V10" i="3" s="1"/>
  <c r="V45" i="2"/>
  <c r="V44" i="2" s="1"/>
  <c r="U36" i="1"/>
  <c r="T11" i="2"/>
  <c r="T17" i="2"/>
  <c r="H37" i="4"/>
  <c r="W27" i="1"/>
  <c r="T41" i="1"/>
  <c r="U37" i="1"/>
  <c r="W23" i="1"/>
  <c r="T35" i="1"/>
  <c r="S16" i="2"/>
  <c r="T31" i="2"/>
  <c r="T32" i="2" s="1"/>
  <c r="T8" i="3" s="1"/>
  <c r="U13" i="2"/>
  <c r="V48" i="1"/>
  <c r="V28" i="2" s="1"/>
  <c r="W47" i="1"/>
  <c r="W48" i="1" s="1"/>
  <c r="W28" i="2" s="1"/>
  <c r="T14" i="2"/>
  <c r="U30" i="1"/>
  <c r="R35" i="2"/>
  <c r="R15" i="2"/>
  <c r="R23" i="2" s="1"/>
  <c r="H46" i="4"/>
  <c r="S15" i="5"/>
  <c r="S54" i="3"/>
  <c r="S31" i="7" s="1"/>
  <c r="R21" i="2"/>
  <c r="R24" i="2" s="1"/>
  <c r="P20" i="3"/>
  <c r="P36" i="3"/>
  <c r="W28" i="1"/>
  <c r="S12" i="2"/>
  <c r="S18" i="2"/>
  <c r="G39" i="4"/>
  <c r="T34" i="1"/>
  <c r="S10" i="2"/>
  <c r="W38" i="1"/>
  <c r="W42" i="1" s="1"/>
  <c r="V42" i="1"/>
  <c r="V13" i="2" s="1"/>
  <c r="U24" i="3"/>
  <c r="O13" i="3"/>
  <c r="V45" i="1"/>
  <c r="U29" i="2"/>
  <c r="U30" i="2" s="1"/>
  <c r="J14" i="3"/>
  <c r="I26" i="3"/>
  <c r="U19" i="1"/>
  <c r="T6" i="2"/>
  <c r="T7" i="2" s="1"/>
  <c r="T39" i="2" s="1"/>
  <c r="I40" i="3"/>
  <c r="U5" i="2"/>
  <c r="V14" i="1"/>
  <c r="Q6" i="3"/>
  <c r="Q7" i="3" s="1"/>
  <c r="Q9" i="3" s="1"/>
  <c r="Q62" i="2"/>
  <c r="Q65" i="2" s="1"/>
  <c r="Q68" i="2" s="1"/>
  <c r="T27" i="3"/>
  <c r="U54" i="2"/>
  <c r="U58" i="2"/>
  <c r="U12" i="3" s="1"/>
  <c r="U38" i="2"/>
  <c r="V53" i="1"/>
  <c r="W29" i="1"/>
  <c r="T18" i="3"/>
  <c r="U47" i="2"/>
  <c r="Q41" i="2"/>
  <c r="Q37" i="2"/>
  <c r="U63" i="2"/>
  <c r="V71" i="1"/>
  <c r="U31" i="1"/>
  <c r="T20" i="2"/>
  <c r="H3" i="4"/>
  <c r="T66" i="2"/>
  <c r="V67" i="2" s="1"/>
  <c r="T41" i="3"/>
  <c r="G8" i="4"/>
  <c r="G78" i="4"/>
  <c r="V40" i="2"/>
  <c r="W54" i="1"/>
  <c r="W40" i="2" s="1"/>
  <c r="O21" i="3"/>
  <c r="G40" i="4" s="1"/>
  <c r="O37" i="3"/>
  <c r="G22" i="4" s="1"/>
  <c r="G18" i="4" s="1"/>
  <c r="P69" i="2"/>
  <c r="T58" i="2"/>
  <c r="T12" i="3" s="1"/>
  <c r="R61" i="2"/>
  <c r="N27" i="7"/>
  <c r="N11" i="3"/>
  <c r="N55" i="3"/>
  <c r="N32" i="7" s="1"/>
  <c r="O55" i="3"/>
  <c r="O32" i="7" s="1"/>
  <c r="V36" i="2"/>
  <c r="W52" i="1"/>
  <c r="W36" i="2" s="1"/>
  <c r="P38" i="3"/>
  <c r="P19" i="3"/>
  <c r="P7" i="3"/>
  <c r="P9" i="3" s="1"/>
  <c r="P55" i="3" s="1"/>
  <c r="P32" i="7" s="1"/>
  <c r="H18" i="5"/>
  <c r="H23" i="5" s="1"/>
  <c r="H24" i="5" s="1"/>
  <c r="H10" i="5" s="1"/>
  <c r="V19" i="2" l="1"/>
  <c r="W19" i="2"/>
  <c r="W13" i="2"/>
  <c r="U31" i="2"/>
  <c r="U32" i="2" s="1"/>
  <c r="U8" i="3" s="1"/>
  <c r="T7" i="5"/>
  <c r="T60" i="3"/>
  <c r="V31" i="1"/>
  <c r="U20" i="2"/>
  <c r="T15" i="5"/>
  <c r="T54" i="3"/>
  <c r="T31" i="7" s="1"/>
  <c r="V19" i="1"/>
  <c r="U6" i="2"/>
  <c r="S15" i="2"/>
  <c r="S23" i="2" s="1"/>
  <c r="S35" i="2"/>
  <c r="U14" i="2"/>
  <c r="V30" i="1"/>
  <c r="U35" i="1"/>
  <c r="T16" i="2"/>
  <c r="V35" i="3"/>
  <c r="I16" i="4" s="1"/>
  <c r="P27" i="7"/>
  <c r="P11" i="3"/>
  <c r="P57" i="3" s="1"/>
  <c r="P34" i="7" s="1"/>
  <c r="Q55" i="3"/>
  <c r="Q32" i="7" s="1"/>
  <c r="P37" i="3"/>
  <c r="P21" i="3"/>
  <c r="Q69" i="2"/>
  <c r="T28" i="3"/>
  <c r="T29" i="3" s="1"/>
  <c r="T39" i="3"/>
  <c r="V29" i="2"/>
  <c r="V30" i="2" s="1"/>
  <c r="W45" i="1"/>
  <c r="W29" i="2" s="1"/>
  <c r="U34" i="1"/>
  <c r="T10" i="2"/>
  <c r="U41" i="3"/>
  <c r="U43" i="3" s="1"/>
  <c r="U8" i="5" s="1"/>
  <c r="U66" i="2"/>
  <c r="W67" i="2" s="1"/>
  <c r="H11" i="5"/>
  <c r="Q27" i="7"/>
  <c r="Q11" i="3"/>
  <c r="W30" i="2"/>
  <c r="W45" i="2"/>
  <c r="V48" i="2"/>
  <c r="W44" i="2"/>
  <c r="W48" i="2" s="1"/>
  <c r="W46" i="2"/>
  <c r="W10" i="3" s="1"/>
  <c r="W35" i="3" s="1"/>
  <c r="T43" i="3"/>
  <c r="T8" i="5" s="1"/>
  <c r="V5" i="2"/>
  <c r="W14" i="1"/>
  <c r="W5" i="2" s="1"/>
  <c r="U41" i="1"/>
  <c r="V37" i="1"/>
  <c r="I14" i="5"/>
  <c r="I30" i="3"/>
  <c r="V24" i="3"/>
  <c r="R25" i="2"/>
  <c r="T12" i="2"/>
  <c r="T18" i="2"/>
  <c r="V36" i="1"/>
  <c r="U17" i="2"/>
  <c r="U11" i="2"/>
  <c r="S28" i="3"/>
  <c r="S39" i="3"/>
  <c r="H20" i="4" s="1"/>
  <c r="G62" i="4"/>
  <c r="G10" i="4"/>
  <c r="G80" i="4"/>
  <c r="V63" i="2"/>
  <c r="W71" i="1"/>
  <c r="W63" i="2" s="1"/>
  <c r="H73" i="4"/>
  <c r="Q38" i="3"/>
  <c r="Q19" i="3"/>
  <c r="T5" i="3"/>
  <c r="T64" i="2"/>
  <c r="U18" i="3"/>
  <c r="V47" i="2"/>
  <c r="U60" i="3"/>
  <c r="U7" i="5"/>
  <c r="I6" i="5"/>
  <c r="I5" i="5" s="1"/>
  <c r="I48" i="3"/>
  <c r="I50" i="3" s="1"/>
  <c r="I59" i="3"/>
  <c r="R41" i="2"/>
  <c r="R37" i="2"/>
  <c r="N13" i="3"/>
  <c r="N57" i="3"/>
  <c r="N34" i="7" s="1"/>
  <c r="O57" i="3"/>
  <c r="O34" i="7" s="1"/>
  <c r="Q36" i="3"/>
  <c r="Q20" i="3"/>
  <c r="V38" i="2"/>
  <c r="W53" i="1"/>
  <c r="W38" i="2" s="1"/>
  <c r="U7" i="2"/>
  <c r="U27" i="3"/>
  <c r="V54" i="2"/>
  <c r="V58" i="2"/>
  <c r="V12" i="3" s="1"/>
  <c r="J15" i="3"/>
  <c r="S61" i="2"/>
  <c r="S21" i="2"/>
  <c r="S24" i="2" s="1"/>
  <c r="T61" i="2" l="1"/>
  <c r="T21" i="2"/>
  <c r="T24" i="2" s="1"/>
  <c r="R62" i="2"/>
  <c r="R65" i="2" s="1"/>
  <c r="R68" i="2" s="1"/>
  <c r="R69" i="2" s="1"/>
  <c r="R6" i="3"/>
  <c r="V27" i="3"/>
  <c r="W54" i="2"/>
  <c r="W27" i="3" s="1"/>
  <c r="W58" i="2"/>
  <c r="W12" i="3" s="1"/>
  <c r="V18" i="3"/>
  <c r="W47" i="2"/>
  <c r="W18" i="3" s="1"/>
  <c r="G61" i="4"/>
  <c r="U12" i="2"/>
  <c r="U18" i="2"/>
  <c r="I7" i="4"/>
  <c r="V20" i="2"/>
  <c r="W31" i="1"/>
  <c r="W20" i="2" s="1"/>
  <c r="U15" i="5"/>
  <c r="U54" i="3"/>
  <c r="U31" i="7" s="1"/>
  <c r="W19" i="1"/>
  <c r="W6" i="2" s="1"/>
  <c r="W7" i="2" s="1"/>
  <c r="V6" i="2"/>
  <c r="V7" i="2" s="1"/>
  <c r="V39" i="2" s="1"/>
  <c r="H48" i="4"/>
  <c r="S29" i="3"/>
  <c r="T35" i="2"/>
  <c r="T15" i="2"/>
  <c r="T23" i="2" s="1"/>
  <c r="T25" i="2" s="1"/>
  <c r="V35" i="1"/>
  <c r="U16" i="2"/>
  <c r="U64" i="2"/>
  <c r="U5" i="3"/>
  <c r="W41" i="3"/>
  <c r="W43" i="3" s="1"/>
  <c r="W8" i="5" s="1"/>
  <c r="W66" i="2"/>
  <c r="Q13" i="3"/>
  <c r="V34" i="1"/>
  <c r="U10" i="2"/>
  <c r="V14" i="2"/>
  <c r="W30" i="1"/>
  <c r="W14" i="2" s="1"/>
  <c r="R36" i="3"/>
  <c r="R20" i="3"/>
  <c r="W31" i="2"/>
  <c r="W32" i="2"/>
  <c r="W8" i="3" s="1"/>
  <c r="F5" i="4" s="1"/>
  <c r="F6" i="4" s="1"/>
  <c r="Q37" i="3"/>
  <c r="Q21" i="3"/>
  <c r="T62" i="3"/>
  <c r="T37" i="7" s="1"/>
  <c r="U62" i="3"/>
  <c r="U37" i="7" s="1"/>
  <c r="R38" i="3"/>
  <c r="R19" i="3"/>
  <c r="W24" i="3"/>
  <c r="V31" i="2"/>
  <c r="V32" i="2"/>
  <c r="V8" i="3" s="1"/>
  <c r="I5" i="4" s="1"/>
  <c r="V41" i="3"/>
  <c r="V66" i="2"/>
  <c r="I28" i="7"/>
  <c r="J49" i="3"/>
  <c r="I22" i="3"/>
  <c r="I23" i="3" s="1"/>
  <c r="I31" i="3" s="1"/>
  <c r="U39" i="2"/>
  <c r="I16" i="5"/>
  <c r="I19" i="5" s="1"/>
  <c r="J34" i="3"/>
  <c r="J25" i="3"/>
  <c r="Q57" i="3"/>
  <c r="Q34" i="7" s="1"/>
  <c r="W36" i="1"/>
  <c r="V11" i="2"/>
  <c r="V17" i="2"/>
  <c r="P13" i="3"/>
  <c r="S37" i="2"/>
  <c r="S41" i="2"/>
  <c r="V7" i="5"/>
  <c r="V60" i="3"/>
  <c r="V41" i="1"/>
  <c r="W37" i="1"/>
  <c r="W41" i="1" s="1"/>
  <c r="S25" i="2"/>
  <c r="U61" i="2" l="1"/>
  <c r="U21" i="2"/>
  <c r="U24" i="2" s="1"/>
  <c r="S36" i="3"/>
  <c r="H19" i="4" s="1"/>
  <c r="S20" i="3"/>
  <c r="H38" i="4" s="1"/>
  <c r="V43" i="3"/>
  <c r="V8" i="5" s="1"/>
  <c r="I26" i="4"/>
  <c r="I27" i="4" s="1"/>
  <c r="T6" i="3"/>
  <c r="T62" i="2"/>
  <c r="T65" i="2" s="1"/>
  <c r="T68" i="2" s="1"/>
  <c r="W12" i="2"/>
  <c r="W18" i="2"/>
  <c r="V39" i="3"/>
  <c r="V28" i="3"/>
  <c r="V29" i="3" s="1"/>
  <c r="V12" i="2"/>
  <c r="V18" i="2"/>
  <c r="K14" i="3"/>
  <c r="J26" i="3"/>
  <c r="V62" i="3"/>
  <c r="V37" i="7" s="1"/>
  <c r="V15" i="5"/>
  <c r="V54" i="3"/>
  <c r="V31" i="7" s="1"/>
  <c r="R7" i="3"/>
  <c r="R9" i="3" s="1"/>
  <c r="I18" i="5"/>
  <c r="I23" i="5" s="1"/>
  <c r="I24" i="5" s="1"/>
  <c r="I10" i="5" s="1"/>
  <c r="I51" i="3"/>
  <c r="I44" i="4"/>
  <c r="R37" i="3"/>
  <c r="R21" i="3"/>
  <c r="U35" i="2"/>
  <c r="U15" i="2"/>
  <c r="U23" i="2" s="1"/>
  <c r="U25" i="2" s="1"/>
  <c r="S6" i="3"/>
  <c r="S7" i="3" s="1"/>
  <c r="S9" i="3" s="1"/>
  <c r="S62" i="2"/>
  <c r="S65" i="2" s="1"/>
  <c r="S68" i="2" s="1"/>
  <c r="S69" i="2" s="1"/>
  <c r="W17" i="2"/>
  <c r="W11" i="2"/>
  <c r="U39" i="3"/>
  <c r="U28" i="3"/>
  <c r="U29" i="3" s="1"/>
  <c r="W34" i="1"/>
  <c r="W10" i="2" s="1"/>
  <c r="V10" i="2"/>
  <c r="W35" i="1"/>
  <c r="W16" i="2" s="1"/>
  <c r="V16" i="2"/>
  <c r="I37" i="4"/>
  <c r="F8" i="4"/>
  <c r="F78" i="4"/>
  <c r="J40" i="3"/>
  <c r="S38" i="3"/>
  <c r="S19" i="3"/>
  <c r="W7" i="5"/>
  <c r="W60" i="3"/>
  <c r="W62" i="3" s="1"/>
  <c r="W37" i="7" s="1"/>
  <c r="H21" i="4"/>
  <c r="W64" i="2"/>
  <c r="W5" i="3"/>
  <c r="I3" i="4" s="1"/>
  <c r="W39" i="2"/>
  <c r="T41" i="2"/>
  <c r="T37" i="2"/>
  <c r="V5" i="3"/>
  <c r="V64" i="2"/>
  <c r="W15" i="5"/>
  <c r="I46" i="4"/>
  <c r="W54" i="3"/>
  <c r="W31" i="7" s="1"/>
  <c r="I9" i="4"/>
  <c r="I73" i="4" l="1"/>
  <c r="H22" i="4"/>
  <c r="H18" i="4" s="1"/>
  <c r="S37" i="3"/>
  <c r="T69" i="2"/>
  <c r="S21" i="3"/>
  <c r="H40" i="4" s="1"/>
  <c r="W35" i="2"/>
  <c r="W15" i="2"/>
  <c r="W23" i="2" s="1"/>
  <c r="V61" i="2"/>
  <c r="S27" i="7"/>
  <c r="S11" i="3"/>
  <c r="U62" i="2"/>
  <c r="U65" i="2" s="1"/>
  <c r="U68" i="2" s="1"/>
  <c r="U6" i="3"/>
  <c r="U7" i="3" s="1"/>
  <c r="U9" i="3" s="1"/>
  <c r="T19" i="3"/>
  <c r="T38" i="3"/>
  <c r="H39" i="4"/>
  <c r="F80" i="4"/>
  <c r="F62" i="4"/>
  <c r="F10" i="4"/>
  <c r="U41" i="2"/>
  <c r="U37" i="2"/>
  <c r="V15" i="2"/>
  <c r="V23" i="2" s="1"/>
  <c r="V25" i="2" s="1"/>
  <c r="V35" i="2"/>
  <c r="T20" i="3"/>
  <c r="T36" i="3"/>
  <c r="W39" i="3"/>
  <c r="W28" i="3"/>
  <c r="I11" i="5"/>
  <c r="I20" i="4"/>
  <c r="H4" i="4"/>
  <c r="H6" i="4" s="1"/>
  <c r="J14" i="5"/>
  <c r="J30" i="3"/>
  <c r="W61" i="2"/>
  <c r="V21" i="2"/>
  <c r="V24" i="2" s="1"/>
  <c r="R27" i="7"/>
  <c r="R11" i="3"/>
  <c r="R55" i="3"/>
  <c r="R32" i="7" s="1"/>
  <c r="S55" i="3"/>
  <c r="S32" i="7" s="1"/>
  <c r="K15" i="3"/>
  <c r="F11" i="4"/>
  <c r="J6" i="5"/>
  <c r="J5" i="5" s="1"/>
  <c r="J59" i="3"/>
  <c r="J48" i="3"/>
  <c r="J50" i="3" s="1"/>
  <c r="W21" i="2"/>
  <c r="W24" i="2" s="1"/>
  <c r="T7" i="3"/>
  <c r="T9" i="3" s="1"/>
  <c r="U55" i="3" l="1"/>
  <c r="U32" i="7" s="1"/>
  <c r="T55" i="3"/>
  <c r="T32" i="7" s="1"/>
  <c r="T21" i="3"/>
  <c r="U69" i="2"/>
  <c r="T37" i="3"/>
  <c r="R13" i="3"/>
  <c r="R57" i="3"/>
  <c r="R34" i="7" s="1"/>
  <c r="S57" i="3"/>
  <c r="S34" i="7" s="1"/>
  <c r="K34" i="3"/>
  <c r="K25" i="3"/>
  <c r="I48" i="4"/>
  <c r="W29" i="3"/>
  <c r="U36" i="3"/>
  <c r="U20" i="3"/>
  <c r="U38" i="3"/>
  <c r="U19" i="3"/>
  <c r="U27" i="7"/>
  <c r="U11" i="3"/>
  <c r="U13" i="3" s="1"/>
  <c r="V6" i="3"/>
  <c r="V62" i="2"/>
  <c r="V65" i="2" s="1"/>
  <c r="V68" i="2" s="1"/>
  <c r="F61" i="4"/>
  <c r="F12" i="4"/>
  <c r="W25" i="2"/>
  <c r="J28" i="7"/>
  <c r="K49" i="3"/>
  <c r="J22" i="3"/>
  <c r="J23" i="3" s="1"/>
  <c r="J31" i="3" s="1"/>
  <c r="T27" i="7"/>
  <c r="T11" i="3"/>
  <c r="T57" i="3" s="1"/>
  <c r="T34" i="7" s="1"/>
  <c r="J16" i="5"/>
  <c r="J19" i="5" s="1"/>
  <c r="W41" i="2"/>
  <c r="W37" i="2"/>
  <c r="H8" i="4"/>
  <c r="H78" i="4"/>
  <c r="V41" i="2"/>
  <c r="V37" i="2"/>
  <c r="S13" i="3"/>
  <c r="J18" i="5" l="1"/>
  <c r="J23" i="5" s="1"/>
  <c r="J24" i="5" s="1"/>
  <c r="J10" i="5" s="1"/>
  <c r="J11" i="5" s="1"/>
  <c r="V38" i="3"/>
  <c r="V19" i="3"/>
  <c r="U57" i="3"/>
  <c r="U34" i="7" s="1"/>
  <c r="F45" i="4"/>
  <c r="L14" i="3"/>
  <c r="K26" i="3"/>
  <c r="K40" i="3"/>
  <c r="F15" i="4"/>
  <c r="F23" i="4" s="1"/>
  <c r="F34" i="4" s="1"/>
  <c r="U37" i="3"/>
  <c r="U21" i="3"/>
  <c r="V69" i="2"/>
  <c r="V7" i="3"/>
  <c r="V9" i="3" s="1"/>
  <c r="I4" i="4"/>
  <c r="I6" i="4" s="1"/>
  <c r="W19" i="3"/>
  <c r="W38" i="3"/>
  <c r="W62" i="2"/>
  <c r="W65" i="2" s="1"/>
  <c r="W68" i="2" s="1"/>
  <c r="W6" i="3"/>
  <c r="W7" i="3" s="1"/>
  <c r="W9" i="3" s="1"/>
  <c r="F60" i="4"/>
  <c r="F55" i="4"/>
  <c r="V36" i="3"/>
  <c r="V20" i="3"/>
  <c r="T13" i="3"/>
  <c r="H80" i="4"/>
  <c r="H62" i="4"/>
  <c r="H10" i="4"/>
  <c r="J51" i="3"/>
  <c r="W20" i="3"/>
  <c r="I38" i="4" s="1"/>
  <c r="W36" i="3"/>
  <c r="I19" i="4" l="1"/>
  <c r="I21" i="4"/>
  <c r="F50" i="4"/>
  <c r="F77" i="4"/>
  <c r="K6" i="5"/>
  <c r="K5" i="5" s="1"/>
  <c r="K59" i="3"/>
  <c r="K48" i="3"/>
  <c r="K50" i="3" s="1"/>
  <c r="X39" i="5"/>
  <c r="X40" i="5" s="1"/>
  <c r="I8" i="4"/>
  <c r="I78" i="4"/>
  <c r="I39" i="4"/>
  <c r="H61" i="4"/>
  <c r="V27" i="7"/>
  <c r="V11" i="3"/>
  <c r="V55" i="3"/>
  <c r="V32" i="7" s="1"/>
  <c r="W55" i="3"/>
  <c r="W32" i="7" s="1"/>
  <c r="L15" i="3"/>
  <c r="F57" i="4"/>
  <c r="K14" i="5"/>
  <c r="K30" i="3"/>
  <c r="W27" i="7"/>
  <c r="W11" i="3"/>
  <c r="W13" i="3" s="1"/>
  <c r="V37" i="3"/>
  <c r="V21" i="3"/>
  <c r="W69" i="2"/>
  <c r="I80" i="4" l="1"/>
  <c r="I62" i="4"/>
  <c r="I10" i="4"/>
  <c r="K61" i="3"/>
  <c r="W21" i="3"/>
  <c r="W37" i="3"/>
  <c r="K28" i="7"/>
  <c r="L49" i="3"/>
  <c r="K22" i="3"/>
  <c r="K51" i="3" s="1"/>
  <c r="I22" i="4"/>
  <c r="I18" i="4" s="1"/>
  <c r="L34" i="3"/>
  <c r="L25" i="3"/>
  <c r="K16" i="5"/>
  <c r="K19" i="5" s="1"/>
  <c r="V13" i="3"/>
  <c r="W57" i="3"/>
  <c r="W34" i="7" s="1"/>
  <c r="V57" i="3"/>
  <c r="V34" i="7" s="1"/>
  <c r="K18" i="5" l="1"/>
  <c r="K23" i="5" s="1"/>
  <c r="K24" i="5" s="1"/>
  <c r="K10" i="5" s="1"/>
  <c r="I61" i="4"/>
  <c r="I40" i="4"/>
  <c r="K36" i="7"/>
  <c r="K58" i="3"/>
  <c r="M14" i="3"/>
  <c r="L26" i="3"/>
  <c r="L40" i="3"/>
  <c r="F41" i="4"/>
  <c r="K56" i="3"/>
  <c r="K33" i="7" s="1"/>
  <c r="K23" i="3"/>
  <c r="K31" i="3" s="1"/>
  <c r="K35" i="7" l="1"/>
  <c r="L6" i="5"/>
  <c r="L5" i="5" s="1"/>
  <c r="L59" i="3"/>
  <c r="L48" i="3"/>
  <c r="L50" i="3" s="1"/>
  <c r="F69" i="4"/>
  <c r="F67" i="4"/>
  <c r="F68" i="4"/>
  <c r="F79" i="4"/>
  <c r="F43" i="4"/>
  <c r="M15" i="3"/>
  <c r="L30" i="3"/>
  <c r="L14" i="5"/>
  <c r="K11" i="5"/>
  <c r="L61" i="3" l="1"/>
  <c r="L16" i="5"/>
  <c r="L19" i="5" s="1"/>
  <c r="L18" i="5"/>
  <c r="L23" i="5" s="1"/>
  <c r="L24" i="5" s="1"/>
  <c r="L10" i="5" s="1"/>
  <c r="L28" i="7"/>
  <c r="M49" i="3"/>
  <c r="L22" i="3"/>
  <c r="M34" i="3"/>
  <c r="M25" i="3"/>
  <c r="F51" i="4"/>
  <c r="F64" i="4"/>
  <c r="F72" i="4"/>
  <c r="F63" i="4"/>
  <c r="F56" i="4"/>
  <c r="N14" i="3" l="1"/>
  <c r="M26" i="3"/>
  <c r="L56" i="3"/>
  <c r="L33" i="7" s="1"/>
  <c r="L23" i="3"/>
  <c r="L31" i="3" s="1"/>
  <c r="M40" i="3"/>
  <c r="L36" i="7"/>
  <c r="L58" i="3"/>
  <c r="F59" i="4"/>
  <c r="L51" i="3"/>
  <c r="L11" i="5"/>
  <c r="M14" i="5" l="1"/>
  <c r="M30" i="3"/>
  <c r="L35" i="7"/>
  <c r="M6" i="5"/>
  <c r="M5" i="5" s="1"/>
  <c r="M59" i="3"/>
  <c r="M48" i="3"/>
  <c r="M50" i="3" s="1"/>
  <c r="N15" i="3"/>
  <c r="M28" i="7" l="1"/>
  <c r="N49" i="3"/>
  <c r="M22" i="3"/>
  <c r="M61" i="3"/>
  <c r="N34" i="3"/>
  <c r="N25" i="3"/>
  <c r="M16" i="5"/>
  <c r="M19" i="5" s="1"/>
  <c r="M36" i="7" l="1"/>
  <c r="M58" i="3"/>
  <c r="M18" i="5"/>
  <c r="M23" i="5" s="1"/>
  <c r="M24" i="5" s="1"/>
  <c r="M10" i="5" s="1"/>
  <c r="M56" i="3"/>
  <c r="M33" i="7" s="1"/>
  <c r="M23" i="3"/>
  <c r="M31" i="3" s="1"/>
  <c r="O14" i="3"/>
  <c r="N26" i="3"/>
  <c r="M51" i="3"/>
  <c r="N40" i="3"/>
  <c r="O15" i="3" l="1"/>
  <c r="G11" i="4"/>
  <c r="G12" i="4" s="1"/>
  <c r="N6" i="5"/>
  <c r="N5" i="5" s="1"/>
  <c r="N48" i="3"/>
  <c r="N50" i="3" s="1"/>
  <c r="N59" i="3"/>
  <c r="M11" i="5"/>
  <c r="M35" i="7"/>
  <c r="N14" i="5"/>
  <c r="N30" i="3"/>
  <c r="N28" i="7" l="1"/>
  <c r="O49" i="3"/>
  <c r="N22" i="3"/>
  <c r="N61" i="3"/>
  <c r="N16" i="5"/>
  <c r="N19" i="5" s="1"/>
  <c r="G60" i="4"/>
  <c r="G55" i="4"/>
  <c r="O34" i="3"/>
  <c r="O25" i="3"/>
  <c r="N56" i="3" l="1"/>
  <c r="N33" i="7" s="1"/>
  <c r="N23" i="3"/>
  <c r="N31" i="3" s="1"/>
  <c r="O40" i="3"/>
  <c r="G15" i="4"/>
  <c r="G23" i="4" s="1"/>
  <c r="G34" i="4" s="1"/>
  <c r="N51" i="3"/>
  <c r="N18" i="5"/>
  <c r="N23" i="5" s="1"/>
  <c r="N24" i="5" s="1"/>
  <c r="N10" i="5" s="1"/>
  <c r="G45" i="4"/>
  <c r="P14" i="3"/>
  <c r="O26" i="3"/>
  <c r="N36" i="7"/>
  <c r="N58" i="3"/>
  <c r="N11" i="5" l="1"/>
  <c r="N35" i="7"/>
  <c r="O14" i="5"/>
  <c r="O30" i="3"/>
  <c r="O6" i="5"/>
  <c r="O5" i="5" s="1"/>
  <c r="O48" i="3"/>
  <c r="O50" i="3" s="1"/>
  <c r="O59" i="3"/>
  <c r="P15" i="3"/>
  <c r="G50" i="4"/>
  <c r="G77" i="4"/>
  <c r="G57" i="4"/>
  <c r="O16" i="5" l="1"/>
  <c r="O19" i="5" s="1"/>
  <c r="P34" i="3"/>
  <c r="P25" i="3"/>
  <c r="O61" i="3"/>
  <c r="O28" i="7"/>
  <c r="P49" i="3"/>
  <c r="O22" i="3"/>
  <c r="P40" i="3" l="1"/>
  <c r="G41" i="4"/>
  <c r="O56" i="3"/>
  <c r="O33" i="7" s="1"/>
  <c r="O23" i="3"/>
  <c r="O31" i="3" s="1"/>
  <c r="Q14" i="3"/>
  <c r="P26" i="3"/>
  <c r="O51" i="3"/>
  <c r="O18" i="5"/>
  <c r="O23" i="5" s="1"/>
  <c r="O24" i="5" s="1"/>
  <c r="O10" i="5" s="1"/>
  <c r="O36" i="7"/>
  <c r="O58" i="3"/>
  <c r="P14" i="5" l="1"/>
  <c r="P30" i="3"/>
  <c r="O35" i="7"/>
  <c r="G68" i="4"/>
  <c r="G67" i="4"/>
  <c r="G69" i="4"/>
  <c r="G79" i="4"/>
  <c r="G43" i="4"/>
  <c r="Q15" i="3"/>
  <c r="O11" i="5"/>
  <c r="P6" i="5"/>
  <c r="P5" i="5" s="1"/>
  <c r="P48" i="3"/>
  <c r="P50" i="3" s="1"/>
  <c r="P59" i="3"/>
  <c r="P28" i="7" l="1"/>
  <c r="Q49" i="3"/>
  <c r="P22" i="3"/>
  <c r="P51" i="3" s="1"/>
  <c r="G51" i="4"/>
  <c r="G72" i="4"/>
  <c r="G64" i="4"/>
  <c r="G63" i="4"/>
  <c r="G56" i="4"/>
  <c r="Q34" i="3"/>
  <c r="Q25" i="3"/>
  <c r="P61" i="3"/>
  <c r="P16" i="5"/>
  <c r="P19" i="5" s="1"/>
  <c r="G59" i="4" l="1"/>
  <c r="R14" i="3"/>
  <c r="Q26" i="3"/>
  <c r="P36" i="7"/>
  <c r="P58" i="3"/>
  <c r="P35" i="7" s="1"/>
  <c r="Q40" i="3"/>
  <c r="P18" i="5"/>
  <c r="P23" i="5" s="1"/>
  <c r="P24" i="5" s="1"/>
  <c r="P10" i="5" s="1"/>
  <c r="P56" i="3"/>
  <c r="P33" i="7" s="1"/>
  <c r="P23" i="3"/>
  <c r="P31" i="3" s="1"/>
  <c r="P11" i="5" l="1"/>
  <c r="Q6" i="5"/>
  <c r="Q5" i="5" s="1"/>
  <c r="Q48" i="3"/>
  <c r="Q50" i="3" s="1"/>
  <c r="Q59" i="3"/>
  <c r="R15" i="3"/>
  <c r="Q14" i="5"/>
  <c r="Q30" i="3"/>
  <c r="Q16" i="5" l="1"/>
  <c r="Q19" i="5" s="1"/>
  <c r="Q28" i="7"/>
  <c r="R49" i="3"/>
  <c r="Q22" i="3"/>
  <c r="R34" i="3"/>
  <c r="R25" i="3"/>
  <c r="Q61" i="3"/>
  <c r="Q18" i="5" l="1"/>
  <c r="Q23" i="5" s="1"/>
  <c r="Q24" i="5" s="1"/>
  <c r="Q10" i="5" s="1"/>
  <c r="Q11" i="5" s="1"/>
  <c r="Q56" i="3"/>
  <c r="Q33" i="7" s="1"/>
  <c r="Q23" i="3"/>
  <c r="Q31" i="3" s="1"/>
  <c r="S14" i="3"/>
  <c r="R26" i="3"/>
  <c r="R40" i="3"/>
  <c r="Q51" i="3"/>
  <c r="Q36" i="7"/>
  <c r="Q58" i="3"/>
  <c r="Q35" i="7" s="1"/>
  <c r="S15" i="3" l="1"/>
  <c r="H11" i="4"/>
  <c r="H12" i="4" s="1"/>
  <c r="R6" i="5"/>
  <c r="R5" i="5" s="1"/>
  <c r="R59" i="3"/>
  <c r="R48" i="3"/>
  <c r="R50" i="3" s="1"/>
  <c r="R14" i="5"/>
  <c r="R30" i="3"/>
  <c r="R28" i="7" l="1"/>
  <c r="R22" i="3"/>
  <c r="S49" i="3"/>
  <c r="R16" i="5"/>
  <c r="R19" i="5" s="1"/>
  <c r="R61" i="3"/>
  <c r="H60" i="4"/>
  <c r="H55" i="4"/>
  <c r="S34" i="3"/>
  <c r="S25" i="3"/>
  <c r="S40" i="3" l="1"/>
  <c r="H15" i="4"/>
  <c r="H23" i="4" s="1"/>
  <c r="H34" i="4" s="1"/>
  <c r="R18" i="5"/>
  <c r="R23" i="5" s="1"/>
  <c r="R24" i="5" s="1"/>
  <c r="R10" i="5" s="1"/>
  <c r="R56" i="3"/>
  <c r="R33" i="7" s="1"/>
  <c r="R23" i="3"/>
  <c r="R31" i="3" s="1"/>
  <c r="R51" i="3"/>
  <c r="H45" i="4"/>
  <c r="T14" i="3"/>
  <c r="S26" i="3"/>
  <c r="R36" i="7"/>
  <c r="R58" i="3"/>
  <c r="R35" i="7" s="1"/>
  <c r="R11" i="5" l="1"/>
  <c r="S14" i="5"/>
  <c r="S30" i="3"/>
  <c r="T15" i="3"/>
  <c r="H50" i="4"/>
  <c r="H77" i="4"/>
  <c r="H57" i="4"/>
  <c r="S6" i="5"/>
  <c r="S5" i="5" s="1"/>
  <c r="S59" i="3"/>
  <c r="S48" i="3"/>
  <c r="S50" i="3" s="1"/>
  <c r="T34" i="3" l="1"/>
  <c r="T25" i="3"/>
  <c r="S28" i="7"/>
  <c r="T49" i="3"/>
  <c r="S22" i="3"/>
  <c r="S51" i="3" s="1"/>
  <c r="S16" i="5"/>
  <c r="S19" i="5" s="1"/>
  <c r="S61" i="3"/>
  <c r="S18" i="5" l="1"/>
  <c r="S23" i="5" s="1"/>
  <c r="S24" i="5" s="1"/>
  <c r="S10" i="5" s="1"/>
  <c r="H41" i="4"/>
  <c r="S56" i="3"/>
  <c r="S33" i="7" s="1"/>
  <c r="S23" i="3"/>
  <c r="S31" i="3" s="1"/>
  <c r="S36" i="7"/>
  <c r="S58" i="3"/>
  <c r="S35" i="7" s="1"/>
  <c r="U14" i="3"/>
  <c r="T26" i="3"/>
  <c r="T40" i="3"/>
  <c r="T6" i="5" l="1"/>
  <c r="T5" i="5" s="1"/>
  <c r="T59" i="3"/>
  <c r="T48" i="3"/>
  <c r="T50" i="3" s="1"/>
  <c r="H69" i="4"/>
  <c r="H67" i="4"/>
  <c r="H68" i="4"/>
  <c r="H79" i="4"/>
  <c r="H43" i="4"/>
  <c r="T14" i="5"/>
  <c r="T30" i="3"/>
  <c r="U15" i="3"/>
  <c r="S11" i="5"/>
  <c r="H51" i="4" l="1"/>
  <c r="H72" i="4"/>
  <c r="H64" i="4"/>
  <c r="H63" i="4"/>
  <c r="H59" i="4" s="1"/>
  <c r="H56" i="4"/>
  <c r="T61" i="3"/>
  <c r="U34" i="3"/>
  <c r="U25" i="3"/>
  <c r="T28" i="7"/>
  <c r="U49" i="3"/>
  <c r="T22" i="3"/>
  <c r="T16" i="5"/>
  <c r="T19" i="5" s="1"/>
  <c r="T18" i="5" l="1"/>
  <c r="T23" i="5" s="1"/>
  <c r="T24" i="5" s="1"/>
  <c r="T10" i="5" s="1"/>
  <c r="V14" i="3"/>
  <c r="U26" i="3"/>
  <c r="T36" i="7"/>
  <c r="T58" i="3"/>
  <c r="T35" i="7" s="1"/>
  <c r="T56" i="3"/>
  <c r="T33" i="7" s="1"/>
  <c r="T23" i="3"/>
  <c r="T31" i="3" s="1"/>
  <c r="T11" i="5"/>
  <c r="U40" i="3"/>
  <c r="T51" i="3"/>
  <c r="V15" i="3" l="1"/>
  <c r="U14" i="5"/>
  <c r="U30" i="3"/>
  <c r="U59" i="3"/>
  <c r="U48" i="3"/>
  <c r="U50" i="3" s="1"/>
  <c r="U6" i="5"/>
  <c r="U5" i="5" s="1"/>
  <c r="U28" i="7" l="1"/>
  <c r="V49" i="3"/>
  <c r="U22" i="3"/>
  <c r="U61" i="3"/>
  <c r="U16" i="5"/>
  <c r="U19" i="5" s="1"/>
  <c r="V34" i="3"/>
  <c r="V25" i="3"/>
  <c r="U36" i="7" l="1"/>
  <c r="U58" i="3"/>
  <c r="U35" i="7" s="1"/>
  <c r="W14" i="3"/>
  <c r="V26" i="3"/>
  <c r="V40" i="3"/>
  <c r="U56" i="3"/>
  <c r="U33" i="7" s="1"/>
  <c r="U23" i="3"/>
  <c r="U31" i="3" s="1"/>
  <c r="U51" i="3"/>
  <c r="U18" i="5"/>
  <c r="U23" i="5" s="1"/>
  <c r="U24" i="5" s="1"/>
  <c r="U10" i="5" s="1"/>
  <c r="V14" i="5" l="1"/>
  <c r="V30" i="3"/>
  <c r="U11" i="5"/>
  <c r="V6" i="5"/>
  <c r="V5" i="5" s="1"/>
  <c r="V59" i="3"/>
  <c r="V48" i="3"/>
  <c r="V50" i="3" s="1"/>
  <c r="W15" i="3"/>
  <c r="I11" i="4"/>
  <c r="I12" i="4" s="1"/>
  <c r="V28" i="7" l="1"/>
  <c r="W49" i="3"/>
  <c r="V22" i="3"/>
  <c r="V51" i="3" s="1"/>
  <c r="W34" i="3"/>
  <c r="W25" i="3"/>
  <c r="V61" i="3"/>
  <c r="I60" i="4"/>
  <c r="I55" i="4"/>
  <c r="V16" i="5"/>
  <c r="V19" i="5" s="1"/>
  <c r="I45" i="4" l="1"/>
  <c r="W26" i="3"/>
  <c r="V36" i="7"/>
  <c r="V58" i="3"/>
  <c r="V35" i="7" s="1"/>
  <c r="V18" i="5"/>
  <c r="V23" i="5" s="1"/>
  <c r="V24" i="5" s="1"/>
  <c r="V10" i="5" s="1"/>
  <c r="W40" i="3"/>
  <c r="I15" i="4"/>
  <c r="I23" i="4" s="1"/>
  <c r="I34" i="4" s="1"/>
  <c r="V56" i="3"/>
  <c r="V33" i="7" s="1"/>
  <c r="V23" i="3"/>
  <c r="V31" i="3" s="1"/>
  <c r="V11" i="5" l="1"/>
  <c r="W6" i="5"/>
  <c r="W5" i="5" s="1"/>
  <c r="W48" i="3"/>
  <c r="W50" i="3" s="1"/>
  <c r="W59" i="3"/>
  <c r="W61" i="3" s="1"/>
  <c r="W14" i="5"/>
  <c r="W30" i="3"/>
  <c r="I77" i="4"/>
  <c r="I50" i="4"/>
  <c r="I57" i="4"/>
  <c r="W36" i="7" l="1"/>
  <c r="W58" i="3"/>
  <c r="W28" i="7"/>
  <c r="W22" i="3"/>
  <c r="W16" i="5"/>
  <c r="W19" i="5" s="1"/>
  <c r="I41" i="4" l="1"/>
  <c r="W56" i="3"/>
  <c r="W33" i="7" s="1"/>
  <c r="W23" i="3"/>
  <c r="W31" i="3" s="1"/>
  <c r="W18" i="5"/>
  <c r="W23" i="5" s="1"/>
  <c r="W24" i="5" s="1"/>
  <c r="W51" i="3"/>
  <c r="W35" i="7"/>
  <c r="C5" i="6"/>
  <c r="C9" i="6"/>
  <c r="W10" i="5" l="1"/>
  <c r="X29" i="5"/>
  <c r="X30" i="5" s="1"/>
  <c r="I69" i="4"/>
  <c r="I67" i="4"/>
  <c r="I68" i="4"/>
  <c r="I79" i="4"/>
  <c r="I43" i="4"/>
  <c r="I51" i="4" l="1"/>
  <c r="I63" i="4"/>
  <c r="I72" i="4"/>
  <c r="I64" i="4"/>
  <c r="I56" i="4"/>
  <c r="X41" i="5"/>
  <c r="X42" i="5" s="1"/>
  <c r="W11" i="5"/>
  <c r="X28" i="5" s="1"/>
  <c r="X31" i="5" s="1"/>
  <c r="X46" i="5" l="1"/>
  <c r="X33" i="5"/>
  <c r="C8" i="6"/>
  <c r="C4" i="6"/>
  <c r="X47" i="5"/>
  <c r="X48" i="5" s="1"/>
  <c r="X43" i="5"/>
  <c r="I59" i="4"/>
</calcChain>
</file>

<file path=xl/sharedStrings.xml><?xml version="1.0" encoding="utf-8"?>
<sst xmlns="http://schemas.openxmlformats.org/spreadsheetml/2006/main" count="845" uniqueCount="367">
  <si>
    <t>Показатель</t>
  </si>
  <si>
    <t>Ед. изм.</t>
  </si>
  <si>
    <t>Комментарий</t>
  </si>
  <si>
    <t>Const</t>
  </si>
  <si>
    <t>Год 0</t>
  </si>
  <si>
    <t>Год 1</t>
  </si>
  <si>
    <t>Год 2</t>
  </si>
  <si>
    <t>Год 3</t>
  </si>
  <si>
    <t>Год 4</t>
  </si>
  <si>
    <t>4-й кв.</t>
  </si>
  <si>
    <t>1-й кв.</t>
  </si>
  <si>
    <t>2-й кв.</t>
  </si>
  <si>
    <t>3-й кв.</t>
  </si>
  <si>
    <t>Макроэкономические допущения</t>
  </si>
  <si>
    <t>Общая инфляция в РФ</t>
  </si>
  <si>
    <t>%</t>
  </si>
  <si>
    <t>по условию кейса: 7% год 1, 6% год 2, 5% далее</t>
  </si>
  <si>
    <t>Темп общей инфляции</t>
  </si>
  <si>
    <t>годовая инфляция / 4 (поквартальный темп)</t>
  </si>
  <si>
    <t>Инфляция заработной платы</t>
  </si>
  <si>
    <t>8% годовых на всём горизонте</t>
  </si>
  <si>
    <t>Темп инфляции заработной платы</t>
  </si>
  <si>
    <t>Инфляция цены на пластик (в $)</t>
  </si>
  <si>
    <t>задается на листе Сценарный анализ</t>
  </si>
  <si>
    <t>Темп инфляции цены на пластик</t>
  </si>
  <si>
    <t>Курс доллара</t>
  </si>
  <si>
    <t>руб/$</t>
  </si>
  <si>
    <t>рост курса — темп в D11</t>
  </si>
  <si>
    <t>Объёмы производства</t>
  </si>
  <si>
    <t>Макеты</t>
  </si>
  <si>
    <t>кг</t>
  </si>
  <si>
    <t>макс. объем задается на листе Сценарный анализ; шаг +500 кг/кв., старт со 2 кв. года 1</t>
  </si>
  <si>
    <t>Сувенирная продукция</t>
  </si>
  <si>
    <t>макс. объем задается на листе Сценарный анализ; шаг +50 кг/кв., старт со 2 кв. года 1</t>
  </si>
  <si>
    <t>Цены продукции</t>
  </si>
  <si>
    <t>руб/кг</t>
  </si>
  <si>
    <t>базовая цена задается на листе Анализ чувствительности, далее инфлируется</t>
  </si>
  <si>
    <t>Нормативы расхода</t>
  </si>
  <si>
    <t>Расход пластика на макет</t>
  </si>
  <si>
    <t>кг/кг</t>
  </si>
  <si>
    <t>Расход пластика на сувенирную продукцию</t>
  </si>
  <si>
    <t>Расход электроэнергии на макет</t>
  </si>
  <si>
    <t>кВт*ч/кг</t>
  </si>
  <si>
    <t>Расход электроэнергии на сувенирную продукцию</t>
  </si>
  <si>
    <t>Расход труда на макет (дизайн)</t>
  </si>
  <si>
    <t>чел-час/кг</t>
  </si>
  <si>
    <t>Расход труда на сувенирную продукцию (дизайн)</t>
  </si>
  <si>
    <t>Расход труда на макет (обработка)</t>
  </si>
  <si>
    <t>Расход труда на сувенирную продукцию (обработка)</t>
  </si>
  <si>
    <t>Стоимость прочих материалов и работ на макет</t>
  </si>
  <si>
    <t>инфлируется темпом общей инфляции</t>
  </si>
  <si>
    <t>Стоимость прочих материалов и работ на сувенирную продукцию</t>
  </si>
  <si>
    <t>Себестоимость</t>
  </si>
  <si>
    <t>Стоимость пластика для макета (ABS)</t>
  </si>
  <si>
    <t>$-инфляция сырья x рост курса $</t>
  </si>
  <si>
    <t>Стоимость пластика для сувенирной продукции (PLA)</t>
  </si>
  <si>
    <t>Стоимость электроэнергии</t>
  </si>
  <si>
    <t>руб/кВт*ч</t>
  </si>
  <si>
    <t>Стоимость труда дизайнера (ФОТ)</t>
  </si>
  <si>
    <t>руб/мес</t>
  </si>
  <si>
    <t>инфлируется темпом инфляции з/п</t>
  </si>
  <si>
    <t>Стоимость труда рабочего (ФОТ)</t>
  </si>
  <si>
    <t>Число недель в месяце</t>
  </si>
  <si>
    <t>нед.</t>
  </si>
  <si>
    <t>Число рабочих часов в неделе</t>
  </si>
  <si>
    <t>час.</t>
  </si>
  <si>
    <t>Стоимость человеко-часа дизайнера</t>
  </si>
  <si>
    <t>руб/час</t>
  </si>
  <si>
    <t>Стоимость человеко-часа рабочего</t>
  </si>
  <si>
    <t>Накладные расходы</t>
  </si>
  <si>
    <t>Аренда офиса</t>
  </si>
  <si>
    <t>тыс.руб./кв.</t>
  </si>
  <si>
    <t>Количество непроизводственного персонала</t>
  </si>
  <si>
    <t>чел.</t>
  </si>
  <si>
    <t>5 чел. в год 1, +1 чел. в 1 кв. каждого следующего года</t>
  </si>
  <si>
    <t>Ср. зарплата непроизводственного персонала (ФОТ)</t>
  </si>
  <si>
    <t>тыс.руб/чел/мес</t>
  </si>
  <si>
    <t>тыс.руб/чел/кв</t>
  </si>
  <si>
    <t>Прочие (непредвиденные) расходы</t>
  </si>
  <si>
    <t>% от накладных</t>
  </si>
  <si>
    <t>Оборотный капитал</t>
  </si>
  <si>
    <t>Оборачиваемость ДЗ (с поставщиками)</t>
  </si>
  <si>
    <t>дни</t>
  </si>
  <si>
    <t>предоплата поставщикам</t>
  </si>
  <si>
    <t>Оборачиваемость КЗ (с клиентами)</t>
  </si>
  <si>
    <t>предоплата от клиентов</t>
  </si>
  <si>
    <t>Оборачиваемость запасов</t>
  </si>
  <si>
    <t>Основные средства и инвестиции</t>
  </si>
  <si>
    <t>Стоимость оборудования (инвестиции)</t>
  </si>
  <si>
    <t>тыс.руб.</t>
  </si>
  <si>
    <t>без НДС; закупка в 1 кв. года 1</t>
  </si>
  <si>
    <t>Срок полезного использования (бухгалтерский)</t>
  </si>
  <si>
    <t>лет</t>
  </si>
  <si>
    <t>Срок полезного использования (экономический)</t>
  </si>
  <si>
    <t>Вложение собственного капитала</t>
  </si>
  <si>
    <t>Взнос акционера</t>
  </si>
  <si>
    <t>4 млн в 1 кв. года 1, 5 млн во 2 кв. года 1</t>
  </si>
  <si>
    <t>Кредиты и займы</t>
  </si>
  <si>
    <t>Размер кредита</t>
  </si>
  <si>
    <t>% от инвестиций</t>
  </si>
  <si>
    <t>от стоимости оборудования без НДС</t>
  </si>
  <si>
    <t>Срок кредита</t>
  </si>
  <si>
    <t>погашение тела равными платежами со 2 кв. года 1</t>
  </si>
  <si>
    <t>Процентная ставка</t>
  </si>
  <si>
    <t>% годовых</t>
  </si>
  <si>
    <t>Налоговые ставки</t>
  </si>
  <si>
    <t>Налог на прибыль</t>
  </si>
  <si>
    <t>НДС</t>
  </si>
  <si>
    <t>Бухгалтерский баланс (факт)</t>
  </si>
  <si>
    <t>Основные средства</t>
  </si>
  <si>
    <t>Дебиторская задолженность</t>
  </si>
  <si>
    <t>Запасы</t>
  </si>
  <si>
    <t>Дебиторская задолженность по НДС</t>
  </si>
  <si>
    <t>Денежные средства</t>
  </si>
  <si>
    <t>Итого активы</t>
  </si>
  <si>
    <t>Капитал и резервы</t>
  </si>
  <si>
    <t>Нераспределённая прибыль</t>
  </si>
  <si>
    <t>Кредиторская задолженность</t>
  </si>
  <si>
    <t>Всего пассивы</t>
  </si>
  <si>
    <t>Проверка: активы − пассивы (должно быть 0)</t>
  </si>
  <si>
    <t>Расчёт выручки</t>
  </si>
  <si>
    <t>Выручка от продажи макетной продукции</t>
  </si>
  <si>
    <t>Выручка от продажи сувенирной продукции</t>
  </si>
  <si>
    <t>ИТОГО ВЫРУЧКА</t>
  </si>
  <si>
    <t>Расчёт себестоимости продукции</t>
  </si>
  <si>
    <t>Затраты на пластик на макет</t>
  </si>
  <si>
    <t>Затраты на электроэнергию на макет</t>
  </si>
  <si>
    <t>Затраты на труд дизайнера на макет</t>
  </si>
  <si>
    <t>Затраты на труд рабочего на макет</t>
  </si>
  <si>
    <t>Прочие материалы и работы на макет</t>
  </si>
  <si>
    <t>Удельная себестоимость макетной продукции</t>
  </si>
  <si>
    <t>Затраты на пластик на сувенирную продукцию</t>
  </si>
  <si>
    <t>Затраты на электроэнергию на сувенирную продукцию</t>
  </si>
  <si>
    <t>Затраты на труд дизайнера на сувенирную продукцию</t>
  </si>
  <si>
    <t>Затраты на труд рабочего на сувенирную продукцию</t>
  </si>
  <si>
    <t>Прочие материалы и работы на сувенирную продукцию</t>
  </si>
  <si>
    <t>Удельная себестоимость сувенирной продукции</t>
  </si>
  <si>
    <t>Себестоимость продукции (макетная)</t>
  </si>
  <si>
    <t>Себестоимость продукции (сувенирная)</t>
  </si>
  <si>
    <t>ИТОГО СЕБЕСТОИМОСТЬ ПРОДУКЦИИ</t>
  </si>
  <si>
    <t>Расчёт накладных расходов</t>
  </si>
  <si>
    <t>ФОТ непроизводственного персонала</t>
  </si>
  <si>
    <t>Накладные расходы до прочих</t>
  </si>
  <si>
    <t>% от накладных расходов до прочих</t>
  </si>
  <si>
    <t>ИТОГО НАКЛАДНЫЕ РАСХОДЫ</t>
  </si>
  <si>
    <t>Расчёт оборотного капитала</t>
  </si>
  <si>
    <t>Затраты на пластик за период</t>
  </si>
  <si>
    <t>Дебиторская задолженность (предоплата поставщикам)</t>
  </si>
  <si>
    <t>Кредиторская задолженность (предоплата от клиентов)</t>
  </si>
  <si>
    <t>в 1-м кв. года 1 — на уровне базового периода</t>
  </si>
  <si>
    <t>Основные средства, амортизация и поддерживающие инвестиции</t>
  </si>
  <si>
    <t>Первоначальная стоимость ОС (накопленная)</t>
  </si>
  <si>
    <t>Поддерживающие инвестиции</t>
  </si>
  <si>
    <t>Амортизация</t>
  </si>
  <si>
    <t>Остаточная стоимость ОС</t>
  </si>
  <si>
    <t>ИТОГО ИНВЕСТИЦИИ (первоначальные + поддерживающие)</t>
  </si>
  <si>
    <t>Расчёт кредита</t>
  </si>
  <si>
    <t>Баланс</t>
  </si>
  <si>
    <t>Привлечение</t>
  </si>
  <si>
    <t>Погашение</t>
  </si>
  <si>
    <t>равными долями в течение срока кредита</t>
  </si>
  <si>
    <t>Проценты</t>
  </si>
  <si>
    <t>Моделирование НДС</t>
  </si>
  <si>
    <t>Затраты на оплату труда (НДС не облагаются)</t>
  </si>
  <si>
    <t>Расходы, облагаемые НДС</t>
  </si>
  <si>
    <t>себестоимость + накладные − оплата труда</t>
  </si>
  <si>
    <t>Ставка НДС</t>
  </si>
  <si>
    <t>НДС с выручки (исходящий)</t>
  </si>
  <si>
    <t>НДС с затрат (к вычету)</t>
  </si>
  <si>
    <t>НДС с инвестиций (к вычету)</t>
  </si>
  <si>
    <t>Возмещение НДС по капзатратам</t>
  </si>
  <si>
    <t>возврат входящего НДС по ОС с лагом 2 квартала</t>
  </si>
  <si>
    <t>Итого поток по НДС</t>
  </si>
  <si>
    <t>&gt; 0 — уплата в бюджет; &lt; 0 — прирост возмещения</t>
  </si>
  <si>
    <t>Дебиторская задолженность по НДС (расчёты с бюджетом)</t>
  </si>
  <si>
    <t>накопленное возмещение НДС из бюджета (актив)</t>
  </si>
  <si>
    <t>ПРОГНОЗНЫЙ ОТЧЁТ О ПРИБЫЛЯХ И УБЫТКАХ (ОПУ)</t>
  </si>
  <si>
    <t>Выручка</t>
  </si>
  <si>
    <t>Переменные расходы (себестоимость продукции)</t>
  </si>
  <si>
    <t>Валовая прибыль</t>
  </si>
  <si>
    <t>Постоянные (накладные) расходы</t>
  </si>
  <si>
    <t>EBITDA</t>
  </si>
  <si>
    <t>EBIT (операционная прибыль)</t>
  </si>
  <si>
    <t>Проценты по кредиту</t>
  </si>
  <si>
    <t>Прибыль до налогообложения (EBT)</t>
  </si>
  <si>
    <t>Чистая прибыль</t>
  </si>
  <si>
    <t>ПРОГНОЗНЫЙ БУХГАЛТЕРСКИЙ БАЛАНС</t>
  </si>
  <si>
    <t>Внеоборотные активы (ОС по остаточной стоимости)</t>
  </si>
  <si>
    <t>ИТОГО АКТИВЫ</t>
  </si>
  <si>
    <t>Уставный капитал (взносы инвестора)</t>
  </si>
  <si>
    <t>ИТОГО КАПИТАЛ</t>
  </si>
  <si>
    <t>Долгосрочный кредит</t>
  </si>
  <si>
    <t>ИТОГО ОБЯЗАТЕЛЬСТВА</t>
  </si>
  <si>
    <t>ИТОГО ПАССИВЫ (капитал + обязательства)</t>
  </si>
  <si>
    <t>ПРОГНОЗНЫЙ ОТЧЁТ О ДВИЖЕНИИ ДЕНЕЖНЫХ СРЕДСТВ (ОДДС)</t>
  </si>
  <si>
    <t>Амортизация (неденежная статья)</t>
  </si>
  <si>
    <t>Изменение дебиторской задолженности</t>
  </si>
  <si>
    <t>Изменение дебиторской задолженности по НДС</t>
  </si>
  <si>
    <t>Изменение запасов</t>
  </si>
  <si>
    <t>Изменение кредиторской задолженности</t>
  </si>
  <si>
    <t>ЧДП от операционной деятельности</t>
  </si>
  <si>
    <t>Капитальные затраты (CAPEX)</t>
  </si>
  <si>
    <t>Инвестиционный приток</t>
  </si>
  <si>
    <t>ЧДП от инвестиционной деятельности</t>
  </si>
  <si>
    <t>Получение кредита</t>
  </si>
  <si>
    <t>Погашение тела кредита</t>
  </si>
  <si>
    <t>Взнос собственных средств инвестора</t>
  </si>
  <si>
    <t>ЧДП от финансовой деятельности</t>
  </si>
  <si>
    <t>Чистый денежный поток за период</t>
  </si>
  <si>
    <t>Денежные средства на начало периода</t>
  </si>
  <si>
    <t>Денежные средства на конец периода</t>
  </si>
  <si>
    <t>Проверка: ДС (ОДДС) − ДС (Баланс) (должно быть 0)</t>
  </si>
  <si>
    <t>БАНКОВСКИЕ КОВЕНАНТЫ</t>
  </si>
  <si>
    <t>LTV (Loan-to-Value)</t>
  </si>
  <si>
    <t>x</t>
  </si>
  <si>
    <t>долг / остаточная стоимость ОС (обеспечение)</t>
  </si>
  <si>
    <t>Долг / EBITDA</t>
  </si>
  <si>
    <t>долг на конец кв. / EBITDA за 4 кв. (LTM); с 4-го кв. года 1</t>
  </si>
  <si>
    <t>Чистый долг / EBITDA</t>
  </si>
  <si>
    <t>(долг − ден. средства) / EBITDA за 4 кв. (LTM)</t>
  </si>
  <si>
    <t>Покрытие процентов EBIT / проценты (ICR)</t>
  </si>
  <si>
    <t>EBIT за 4 кв. / проценты за 4 кв. (LTM)</t>
  </si>
  <si>
    <t>DSCR (покрытие обслуживания долга)</t>
  </si>
  <si>
    <t>CFADS за 4 кв. / обслуживание долга за 4 кв. (стр.61 / стр.62)</t>
  </si>
  <si>
    <t xml:space="preserve">   CFADS за квартал</t>
  </si>
  <si>
    <t>ЧДП опер. + ЧДП инвест. + привлечение кредита + взносы в капитал − проценты</t>
  </si>
  <si>
    <t xml:space="preserve">   Обслуживание долга (DS) за квартал</t>
  </si>
  <si>
    <t>проценты (стр.12) + погашение тела кредита (стр.45)</t>
  </si>
  <si>
    <t xml:space="preserve">   CFADS за 4 квартала (LTM)</t>
  </si>
  <si>
    <t>сумма стр.59 за текущий и 3 предыдущих квартала</t>
  </si>
  <si>
    <t xml:space="preserve">   Обслуживание долга за 4 квартала (LTM)</t>
  </si>
  <si>
    <t>сумма стр.60 за текущий и 3 предыдущих квартала</t>
  </si>
  <si>
    <t>ПРОГНОЗНЫЙ ОТЧЕТ О ПРИБЫЛЯХ И УБЫТКАХ</t>
  </si>
  <si>
    <t>Себестоимость (без амортизации)</t>
  </si>
  <si>
    <t>Накладные расходы (без амортизации)</t>
  </si>
  <si>
    <t>EBT (налогооблагаемая прибыль)</t>
  </si>
  <si>
    <t>ПРОГНОЗНЫЙ ОТЧЕТ О ДВИЖЕНИИ ДЕНЕЖНЫХ СРЕДСТВ</t>
  </si>
  <si>
    <t>Прочие неденежные доходы и расходы</t>
  </si>
  <si>
    <t>Изменение оборотного капитала</t>
  </si>
  <si>
    <t>изменение ДЗ</t>
  </si>
  <si>
    <t>изменение КЗ</t>
  </si>
  <si>
    <t>изменение запасов</t>
  </si>
  <si>
    <t>изменение ДЗ по НДС</t>
  </si>
  <si>
    <t>Итого операционный поток</t>
  </si>
  <si>
    <t>Инвестиционный отток</t>
  </si>
  <si>
    <t>Итого инвестиционный поток</t>
  </si>
  <si>
    <t>Привлечение кредитов и займов</t>
  </si>
  <si>
    <t>Погашение кредитов и займов</t>
  </si>
  <si>
    <t>Итого финансовый поток</t>
  </si>
  <si>
    <t>Total CF</t>
  </si>
  <si>
    <t>ДЗ по НДС</t>
  </si>
  <si>
    <t>Прочие активы (не моделируются)</t>
  </si>
  <si>
    <t>Нераспределенная прибыль</t>
  </si>
  <si>
    <t>Долгосрочные кредиты и займы</t>
  </si>
  <si>
    <t>Краткосрочные кредиты и займы</t>
  </si>
  <si>
    <t>Прочие обязательства (не моделируются)</t>
  </si>
  <si>
    <t>проверка</t>
  </si>
  <si>
    <t>ФИНАНСОВЫЙ АНАЛИЗ</t>
  </si>
  <si>
    <t>1. Рентабельность</t>
  </si>
  <si>
    <t>1.1. рентабельность продаж (ROS)</t>
  </si>
  <si>
    <t>1.2. рентабельность активов (ROA)</t>
  </si>
  <si>
    <t>1.3. рентабельность СК (ROE)</t>
  </si>
  <si>
    <t>Формула Дюпона</t>
  </si>
  <si>
    <t xml:space="preserve"> - коэффициент налогового бремени</t>
  </si>
  <si>
    <t xml:space="preserve"> - коэффициент процентного бремени</t>
  </si>
  <si>
    <t xml:space="preserve"> - рентабельность продаж (по EBIT)</t>
  </si>
  <si>
    <t xml:space="preserve"> - оборачиваемость активов</t>
  </si>
  <si>
    <t xml:space="preserve"> - коэффициент финансового рычага</t>
  </si>
  <si>
    <t>2. Ликвидность</t>
  </si>
  <si>
    <t>2.1. Мгновенная ликвидность</t>
  </si>
  <si>
    <t>2.2. Быстрая ликвидность</t>
  </si>
  <si>
    <t>2.3. Текущая ликвидность</t>
  </si>
  <si>
    <t>3. Оборачиваемость (деловая активность)</t>
  </si>
  <si>
    <t>3.1. Оборачиваемость активов</t>
  </si>
  <si>
    <t>3.2. Оборачиваемость ОС</t>
  </si>
  <si>
    <t>3.3. ...</t>
  </si>
  <si>
    <t>4. Финансовая устойчивость</t>
  </si>
  <si>
    <t>4.1. Финансовый леверидж</t>
  </si>
  <si>
    <t>4.2. Долг/EBITDA</t>
  </si>
  <si>
    <t>4.3. Чистый долг/EBITDA</t>
  </si>
  <si>
    <t>4.4. EBIT/проценты</t>
  </si>
  <si>
    <t>Итого</t>
  </si>
  <si>
    <t>1. СВОБОДНЫЙ ДЕНЕЖНЫЙ ПОТОК НА ФИРМУ (FCFF)</t>
  </si>
  <si>
    <t>Свободный денежный поток на фирму (FCFF)</t>
  </si>
  <si>
    <t xml:space="preserve">  Операционный поток (CFO)</t>
  </si>
  <si>
    <t xml:space="preserve">  Проценты * (1-T)</t>
  </si>
  <si>
    <t xml:space="preserve">  Инвестиционный поток (CFI)</t>
  </si>
  <si>
    <t>Фактор дисконтирования</t>
  </si>
  <si>
    <t>Дисконтированный поток FCFF</t>
  </si>
  <si>
    <t>2. СТАВКА ДИСКОНТИРОВАНИЯ (WACC)</t>
  </si>
  <si>
    <t>Собственный капитал (E) на конец квартала</t>
  </si>
  <si>
    <t>Долг (D) на конец квартала</t>
  </si>
  <si>
    <t>ВСЕГО капитал (E + D)</t>
  </si>
  <si>
    <t>Доля собственного капитала (We)</t>
  </si>
  <si>
    <t>Доля долга (Wd)</t>
  </si>
  <si>
    <t>Стоимость собственного капитала (Re), годовых</t>
  </si>
  <si>
    <t>Стоимость долга (Rd), годовых</t>
  </si>
  <si>
    <t>Ставка налога на прибыль (T)</t>
  </si>
  <si>
    <t>WACC, % годовых</t>
  </si>
  <si>
    <t>WACC за квартал</t>
  </si>
  <si>
    <t>3. СТОИМОСТЬ КОМПАНИИ (МЕТОД ДИСКОНТИРОВАННЫХ ДЕНЕЖНЫХ ПОТОКОВ)</t>
  </si>
  <si>
    <t>Темп роста в постпрогнозном периоде (g), годовых</t>
  </si>
  <si>
    <t>Чистая приведённая стоимость потоков FCFF в модели</t>
  </si>
  <si>
    <t>Терминальная стоимость</t>
  </si>
  <si>
    <t>Дисконтированная терминальная стоимость</t>
  </si>
  <si>
    <t>Стоимость компании (EV)</t>
  </si>
  <si>
    <t>Долг на дату оценки (конец 4-го кв. Года 0)</t>
  </si>
  <si>
    <t>Стоимость собственного капитала (Equity Value)</t>
  </si>
  <si>
    <t>4. ОЦЕНКА МЕТОДОМ МУЛЬТИПЛИКАТОРОВ (EV/EBITDA)</t>
  </si>
  <si>
    <t>Мультипликаторы EV/EBITDA сравнимых компаний</t>
  </si>
  <si>
    <t>Среднее арифметическое мультипликатора (справочно)</t>
  </si>
  <si>
    <t>Среднее гармоническое мультипликатора (для оценки)</t>
  </si>
  <si>
    <t>EBITDA компании за Год 4 (выход на стабильный уровень)</t>
  </si>
  <si>
    <t>Стоимость компании (EV) на конец Года 4</t>
  </si>
  <si>
    <t>Дисконтный множитель на конец Года 4</t>
  </si>
  <si>
    <t>Стоимость компании (EV) на дату оценки</t>
  </si>
  <si>
    <t>5. СРАВНЕНИЕ РЕЗУЛЬТАТОВ ОЦЕНКИ</t>
  </si>
  <si>
    <t>Стоимость компании (EV), метод дисконтированных потоков</t>
  </si>
  <si>
    <t>Стоимость компании (EV), метод мультипликаторов</t>
  </si>
  <si>
    <t>Отклонение (мультипликаторы от DCF), %</t>
  </si>
  <si>
    <t>Вывод</t>
  </si>
  <si>
    <t>Оценки: 40,7 млн руб. по DCF и 54,1 млн руб. по мультипликаторам, расхождение около 33%. Мультипликатор аналогов выше, потому что рынок закладывает в них более высокий долгосрочный рост, чем принятые в модели Гордона 1,5% годовых, и не учитывает индивидуальный риск. Итоговый диапазон стоимости бизнеса — 40-55 млн руб.</t>
  </si>
  <si>
    <t>Значение</t>
  </si>
  <si>
    <t>Цена макетной продукции (базовая цена, Год 0)</t>
  </si>
  <si>
    <t>Минимальный DSCR за период кредита</t>
  </si>
  <si>
    <t>Цена сувенирной продукции (базовая цена, Год 0)</t>
  </si>
  <si>
    <t>Изменение EV при росте цены макетов на 1 000 руб/кг</t>
  </si>
  <si>
    <t>Изменение EV при росте цены сувенирной прод. на 1 000 руб/кг</t>
  </si>
  <si>
    <t>Соотношение</t>
  </si>
  <si>
    <t>Вывод:</t>
  </si>
  <si>
    <t>Инфляция цены на пластик:</t>
  </si>
  <si>
    <t>Базовый сценарий</t>
  </si>
  <si>
    <t>Консервативный сценарий</t>
  </si>
  <si>
    <t>Итоговое значение для модели</t>
  </si>
  <si>
    <t>Максимальный объём производства макетной продукции:</t>
  </si>
  <si>
    <t>кг/кв.</t>
  </si>
  <si>
    <t>Максимальный объём производства сувенирной продукции:</t>
  </si>
  <si>
    <t>Процентная ставка по кредиту:</t>
  </si>
  <si>
    <t>Порядковый номер:</t>
  </si>
  <si>
    <t>СЦЕНАРИЙ</t>
  </si>
  <si>
    <t>Базовый</t>
  </si>
  <si>
    <t>1кв Г1</t>
  </si>
  <si>
    <t>2кв Г1</t>
  </si>
  <si>
    <t>3кв Г1</t>
  </si>
  <si>
    <t>4кв Г1</t>
  </si>
  <si>
    <t>1кв Г2</t>
  </si>
  <si>
    <t>2кв Г2</t>
  </si>
  <si>
    <t>3кв Г2</t>
  </si>
  <si>
    <t>4кв Г2</t>
  </si>
  <si>
    <t>1кв Г3</t>
  </si>
  <si>
    <t>2кв Г3</t>
  </si>
  <si>
    <t>3кв Г3</t>
  </si>
  <si>
    <t>4кв Г3</t>
  </si>
  <si>
    <t>1кв Г4</t>
  </si>
  <si>
    <t>2кв Г4</t>
  </si>
  <si>
    <t>3кв Г4</t>
  </si>
  <si>
    <t>4кв Г4</t>
  </si>
  <si>
    <t>Остаток ДС на конец периода</t>
  </si>
  <si>
    <t>Банковские ковенанты:</t>
  </si>
  <si>
    <t>Покрытие процентов (ICR)</t>
  </si>
  <si>
    <t>DSCR</t>
  </si>
  <si>
    <t xml:space="preserve">   CFADS за 4 квартала</t>
  </si>
  <si>
    <t xml:space="preserve">   Обслуживание долга за 4 квартала</t>
  </si>
  <si>
    <t>Банковские ковенанты, консервативный сценарий (значения):</t>
  </si>
  <si>
    <t>Консервативный</t>
  </si>
  <si>
    <t>Оценка сильнее зависит от цены макетной продукции. Рост цены макетов на 1 000 руб/кг (с 4 000 до 5 000) увеличивает EV на 73 496 тыс.руб. (+180%), рост цены сувенирной продукции на 1 000 руб/кг (с 12 000 до 13 000) - на 9 597 тыс.руб. (+24%), т.е. примерно в 7,7 раза меньше. Причина в объемах: макетной продукции выпускается 3 000 кг в квартал, сувенирной 400 кг. При 3 000 и 3 200 руб/кг собственный капитал по балансу отрицательный и WACC считается некорректно, поэтому EV в этих столбцах не показателен.</t>
  </si>
  <si>
    <t>В консервативном сценарии выручка Года 4 снижается с 82 886 до 60 191 тыс.руб., EBITDA с 15 118 до 4 713 тыс.руб., чистая прибыль Года 4 отрицательная (-3 057 тыс.руб.). Ковенанты нарушаются: DSCR меньше 1 в 8 кварталах из 13 и к концу Года 4 падает до 0,02 (в базовом минимум 0,99), Долг/EBITDA доходит до 11,4x (в базовом 8,6x), с 2 кв. Года 4 ICR отрицательный. Остаток денег опускается до -984 тыс.руб., т.е. без дополнительного финансирования кредит на текущих условиях обслуживать не получится.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</si>
</sst>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0"/>
    <numFmt numFmtId="165" formatCode="0.0"/>
    <numFmt numFmtId="166" formatCode="0.000"/>
    <numFmt numFmtId="167" formatCode="0.0%"/>
  </numFmts>
  <fonts count="26" x14ac:knownFonts="1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0"/>
      <name val="Arial"/>
    </font>
    <font>
      <i/>
      <sz val="9"/>
      <color rgb="FF000000"/>
      <name val="Calibri"/>
    </font>
    <font>
      <sz val="11"/>
      <color rgb="FF0070C0"/>
      <name val="Calibri"/>
    </font>
    <font>
      <sz val="11"/>
      <color rgb="FFC00000"/>
      <name val="Calibri"/>
    </font>
    <font>
      <b/>
      <sz val="10"/>
      <name val="Arial"/>
    </font>
    <font>
      <sz val="10"/>
      <color rgb="FF0070C0"/>
      <name val="Arial"/>
    </font>
    <font>
      <sz val="10"/>
      <name val="Arial"/>
    </font>
    <font>
      <b/>
      <sz val="10"/>
      <name val="Arial"/>
    </font>
    <font>
      <sz val="10"/>
      <color rgb="FFC0000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i/>
      <sz val="10"/>
      <name val="Arial"/>
    </font>
    <font>
      <sz val="11"/>
      <color rgb="FF006100"/>
      <name val="Arial"/>
      <family val="2"/>
      <charset val="204"/>
      <scheme val="minor"/>
    </font>
    <font>
      <sz val="11"/>
      <name val="Calibri"/>
    </font>
    <font>
      <b/>
      <i/>
      <sz val="10"/>
      <name val="Arial"/>
    </font>
    <font>
      <b/>
      <sz val="10"/>
      <color rgb="FF0070C0"/>
      <name val="Arial"/>
    </font>
    <font>
      <sz val="10"/>
      <color rgb="FF00B050"/>
      <name val="Arial"/>
    </font>
    <font>
      <b/>
      <sz val="14"/>
      <color rgb="FF1F3864"/>
      <name val="Arial"/>
    </font>
    <font>
      <sz val="12"/>
      <name val="Arial"/>
    </font>
    <font>
      <b/>
      <sz val="12"/>
      <color rgb="FF1F3864"/>
      <name val="Arial"/>
    </font>
  </fonts>
  <fills count="8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  <fill>
      <patternFill patternType="solid">
        <fgColor rgb="FFC6E0B4"/>
        <bgColor rgb="FFC6E0B4"/>
      </patternFill>
    </fill>
    <fill>
      <patternFill patternType="solid">
        <fgColor rgb="FFC6EFCE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C6E0B4"/>
      </patternFill>
    </fill>
    <fill>
      <patternFill patternType="solid">
        <fgColor rgb="FFDDEBF7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14"/>
    <xf numFmtId="0" fontId="18" fillId="4" borderId="14"/>
    <xf numFmtId="0" fontId="1" fillId="5" borderId="14"/>
  </cellStyleXfs>
  <cellXfs count="175">
    <xf numFmtId="0" fontId="0" fillId="0" borderId="0" xfId="0" applyBorder="1"/>
    <xf numFmtId="0" fontId="3" fillId="0" borderId="0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5" fillId="0" borderId="1" xfId="0" applyFont="1" applyBorder="1" applyAlignment="1">
      <alignment horizontal="left"/>
    </xf>
    <xf numFmtId="0" fontId="6" fillId="0" borderId="1" xfId="0" applyFont="1" applyBorder="1"/>
    <xf numFmtId="0" fontId="7" fillId="0" borderId="1" xfId="0" applyFont="1" applyBorder="1"/>
    <xf numFmtId="0" fontId="0" fillId="0" borderId="0" xfId="0" applyBorder="1"/>
    <xf numFmtId="0" fontId="8" fillId="3" borderId="1" xfId="0" applyFont="1" applyFill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10" fontId="9" fillId="0" borderId="1" xfId="0" applyNumberFormat="1" applyFont="1" applyBorder="1"/>
    <xf numFmtId="10" fontId="4" fillId="0" borderId="1" xfId="0" applyNumberFormat="1" applyFont="1" applyBorder="1"/>
    <xf numFmtId="0" fontId="4" fillId="0" borderId="1" xfId="0" applyFont="1" applyBorder="1"/>
    <xf numFmtId="4" fontId="9" fillId="0" borderId="1" xfId="0" applyNumberFormat="1" applyFont="1" applyBorder="1"/>
    <xf numFmtId="4" fontId="4" fillId="0" borderId="1" xfId="0" applyNumberFormat="1" applyFont="1" applyBorder="1"/>
    <xf numFmtId="3" fontId="9" fillId="0" borderId="1" xfId="0" applyNumberFormat="1" applyFont="1" applyBorder="1"/>
    <xf numFmtId="3" fontId="4" fillId="0" borderId="1" xfId="0" applyNumberFormat="1" applyFont="1" applyBorder="1"/>
    <xf numFmtId="0" fontId="8" fillId="3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center"/>
    </xf>
    <xf numFmtId="2" fontId="4" fillId="0" borderId="0" xfId="0" applyNumberFormat="1" applyFont="1" applyBorder="1"/>
    <xf numFmtId="2" fontId="9" fillId="0" borderId="1" xfId="0" applyNumberFormat="1" applyFont="1" applyBorder="1"/>
    <xf numFmtId="2" fontId="4" fillId="0" borderId="1" xfId="0" applyNumberFormat="1" applyFont="1" applyBorder="1"/>
    <xf numFmtId="0" fontId="4" fillId="0" borderId="0" xfId="0" applyFont="1" applyBorder="1"/>
    <xf numFmtId="4" fontId="4" fillId="0" borderId="0" xfId="0" applyNumberFormat="1" applyFont="1" applyBorder="1"/>
    <xf numFmtId="0" fontId="8" fillId="3" borderId="0" xfId="0" applyFont="1" applyFill="1" applyBorder="1"/>
    <xf numFmtId="3" fontId="9" fillId="0" borderId="0" xfId="0" applyNumberFormat="1" applyFont="1" applyBorder="1"/>
    <xf numFmtId="3" fontId="4" fillId="0" borderId="0" xfId="0" applyNumberFormat="1" applyFont="1" applyBorder="1"/>
    <xf numFmtId="4" fontId="9" fillId="0" borderId="0" xfId="0" applyNumberFormat="1" applyFont="1" applyBorder="1"/>
    <xf numFmtId="10" fontId="9" fillId="0" borderId="0" xfId="0" applyNumberFormat="1" applyFont="1" applyBorder="1"/>
    <xf numFmtId="10" fontId="4" fillId="0" borderId="0" xfId="0" applyNumberFormat="1" applyFont="1" applyBorder="1"/>
    <xf numFmtId="2" fontId="9" fillId="0" borderId="0" xfId="0" applyNumberFormat="1" applyFont="1" applyBorder="1"/>
    <xf numFmtId="0" fontId="8" fillId="0" borderId="0" xfId="0" applyFont="1" applyBorder="1"/>
    <xf numFmtId="0" fontId="11" fillId="3" borderId="5" xfId="0" applyFont="1" applyFill="1" applyBorder="1"/>
    <xf numFmtId="0" fontId="0" fillId="0" borderId="6" xfId="0" applyBorder="1"/>
    <xf numFmtId="0" fontId="11" fillId="3" borderId="5" xfId="0" applyFont="1" applyFill="1" applyBorder="1" applyAlignment="1">
      <alignment horizontal="left"/>
    </xf>
    <xf numFmtId="0" fontId="11" fillId="3" borderId="5" xfId="0" applyFont="1" applyFill="1" applyBorder="1" applyAlignment="1">
      <alignment horizontal="center"/>
    </xf>
    <xf numFmtId="0" fontId="11" fillId="3" borderId="6" xfId="0" applyFont="1" applyFill="1" applyBorder="1"/>
    <xf numFmtId="0" fontId="10" fillId="0" borderId="7" xfId="0" applyFont="1" applyBorder="1"/>
    <xf numFmtId="0" fontId="3" fillId="0" borderId="7" xfId="0" applyFont="1" applyBorder="1"/>
    <xf numFmtId="4" fontId="10" fillId="0" borderId="7" xfId="0" applyNumberFormat="1" applyFont="1" applyBorder="1"/>
    <xf numFmtId="0" fontId="10" fillId="0" borderId="7" xfId="0" applyFont="1" applyBorder="1" applyAlignment="1">
      <alignment horizontal="left"/>
    </xf>
    <xf numFmtId="0" fontId="10" fillId="0" borderId="7" xfId="0" applyFont="1" applyBorder="1" applyAlignment="1">
      <alignment horizontal="center"/>
    </xf>
    <xf numFmtId="0" fontId="5" fillId="0" borderId="7" xfId="0" applyFont="1" applyBorder="1" applyAlignment="1">
      <alignment horizontal="left"/>
    </xf>
    <xf numFmtId="4" fontId="12" fillId="0" borderId="7" xfId="0" applyNumberFormat="1" applyFont="1" applyBorder="1"/>
    <xf numFmtId="0" fontId="11" fillId="0" borderId="7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3" fontId="10" fillId="0" borderId="7" xfId="0" applyNumberFormat="1" applyFont="1" applyBorder="1"/>
    <xf numFmtId="0" fontId="3" fillId="0" borderId="8" xfId="0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5" fillId="0" borderId="8" xfId="0" applyFont="1" applyBorder="1" applyAlignment="1">
      <alignment horizontal="left"/>
    </xf>
    <xf numFmtId="0" fontId="3" fillId="0" borderId="8" xfId="0" applyFont="1" applyBorder="1"/>
    <xf numFmtId="0" fontId="0" fillId="0" borderId="7" xfId="0" applyBorder="1"/>
    <xf numFmtId="3" fontId="12" fillId="0" borderId="7" xfId="0" applyNumberFormat="1" applyFont="1" applyBorder="1"/>
    <xf numFmtId="0" fontId="11" fillId="0" borderId="7" xfId="0" applyFont="1" applyBorder="1"/>
    <xf numFmtId="10" fontId="12" fillId="0" borderId="7" xfId="0" applyNumberFormat="1" applyFont="1" applyBorder="1"/>
    <xf numFmtId="0" fontId="3" fillId="0" borderId="0" xfId="0" applyFont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4" fillId="0" borderId="0" xfId="0" applyFont="1" applyBorder="1"/>
    <xf numFmtId="0" fontId="13" fillId="3" borderId="1" xfId="0" applyFont="1" applyFill="1" applyBorder="1"/>
    <xf numFmtId="0" fontId="14" fillId="3" borderId="1" xfId="0" applyFont="1" applyFill="1" applyBorder="1"/>
    <xf numFmtId="0" fontId="14" fillId="0" borderId="1" xfId="0" applyFont="1" applyBorder="1" applyAlignment="1">
      <alignment horizontal="left"/>
    </xf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3" fontId="14" fillId="0" borderId="1" xfId="0" applyNumberFormat="1" applyFont="1" applyBorder="1"/>
    <xf numFmtId="0" fontId="13" fillId="0" borderId="1" xfId="0" applyFont="1" applyBorder="1" applyAlignment="1">
      <alignment horizontal="left"/>
    </xf>
    <xf numFmtId="3" fontId="13" fillId="0" borderId="1" xfId="0" applyNumberFormat="1" applyFont="1" applyBorder="1"/>
    <xf numFmtId="3" fontId="0" fillId="0" borderId="7" xfId="0" applyNumberFormat="1" applyBorder="1"/>
    <xf numFmtId="9" fontId="0" fillId="0" borderId="7" xfId="0" applyNumberFormat="1" applyBorder="1"/>
    <xf numFmtId="3" fontId="13" fillId="0" borderId="7" xfId="0" applyNumberFormat="1" applyFont="1" applyBorder="1"/>
    <xf numFmtId="0" fontId="14" fillId="0" borderId="9" xfId="0" applyFont="1" applyBorder="1" applyAlignment="1">
      <alignment horizontal="left"/>
    </xf>
    <xf numFmtId="0" fontId="14" fillId="0" borderId="9" xfId="0" applyFont="1" applyBorder="1" applyAlignment="1">
      <alignment horizontal="center"/>
    </xf>
    <xf numFmtId="0" fontId="14" fillId="0" borderId="9" xfId="0" applyFont="1" applyBorder="1"/>
    <xf numFmtId="3" fontId="14" fillId="0" borderId="9" xfId="0" applyNumberFormat="1" applyFont="1" applyBorder="1"/>
    <xf numFmtId="0" fontId="13" fillId="0" borderId="7" xfId="0" applyFont="1" applyBorder="1"/>
    <xf numFmtId="0" fontId="14" fillId="0" borderId="7" xfId="0" applyFont="1" applyBorder="1"/>
    <xf numFmtId="3" fontId="14" fillId="0" borderId="7" xfId="0" applyNumberFormat="1" applyFont="1" applyBorder="1"/>
    <xf numFmtId="0" fontId="16" fillId="0" borderId="10" xfId="0" applyFont="1" applyBorder="1"/>
    <xf numFmtId="0" fontId="16" fillId="0" borderId="10" xfId="0" applyFont="1" applyBorder="1" applyAlignment="1">
      <alignment horizontal="center"/>
    </xf>
    <xf numFmtId="3" fontId="15" fillId="0" borderId="11" xfId="0" applyNumberFormat="1" applyFont="1" applyBorder="1"/>
    <xf numFmtId="0" fontId="15" fillId="0" borderId="10" xfId="0" applyFont="1" applyBorder="1" applyAlignment="1">
      <alignment indent="1"/>
    </xf>
    <xf numFmtId="0" fontId="17" fillId="0" borderId="10" xfId="0" applyFont="1" applyBorder="1"/>
    <xf numFmtId="164" fontId="15" fillId="0" borderId="11" xfId="0" applyNumberFormat="1" applyFont="1" applyBorder="1"/>
    <xf numFmtId="9" fontId="15" fillId="0" borderId="11" xfId="0" applyNumberFormat="1" applyFont="1" applyBorder="1"/>
    <xf numFmtId="165" fontId="15" fillId="0" borderId="11" xfId="0" applyNumberFormat="1" applyFont="1" applyBorder="1"/>
    <xf numFmtId="0" fontId="1" fillId="5" borderId="10" xfId="2" applyBorder="1"/>
    <xf numFmtId="3" fontId="1" fillId="5" borderId="11" xfId="2" applyNumberFormat="1" applyBorder="1"/>
    <xf numFmtId="0" fontId="1" fillId="5" borderId="0" xfId="2" applyBorder="1"/>
    <xf numFmtId="0" fontId="18" fillId="4" borderId="10" xfId="1" applyBorder="1"/>
    <xf numFmtId="3" fontId="18" fillId="4" borderId="11" xfId="1" applyNumberFormat="1" applyBorder="1"/>
    <xf numFmtId="0" fontId="18" fillId="4" borderId="0" xfId="1" applyBorder="1"/>
    <xf numFmtId="0" fontId="15" fillId="0" borderId="10" xfId="0" applyFont="1" applyBorder="1"/>
    <xf numFmtId="0" fontId="3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6" fillId="6" borderId="12" xfId="0" applyFont="1" applyFill="1" applyBorder="1"/>
    <xf numFmtId="0" fontId="16" fillId="0" borderId="12" xfId="0" applyFont="1" applyBorder="1" applyAlignment="1">
      <alignment horizontal="left"/>
    </xf>
    <xf numFmtId="0" fontId="15" fillId="0" borderId="12" xfId="0" applyFont="1" applyBorder="1" applyAlignment="1">
      <alignment horizontal="center"/>
    </xf>
    <xf numFmtId="0" fontId="15" fillId="0" borderId="12" xfId="0" applyFont="1" applyBorder="1" applyAlignment="1">
      <alignment horizontal="left"/>
    </xf>
    <xf numFmtId="0" fontId="15" fillId="0" borderId="12" xfId="0" applyFont="1" applyBorder="1"/>
    <xf numFmtId="2" fontId="15" fillId="0" borderId="12" xfId="0" applyNumberFormat="1" applyFont="1" applyBorder="1"/>
    <xf numFmtId="3" fontId="15" fillId="0" borderId="12" xfId="0" applyNumberFormat="1" applyFont="1" applyBorder="1"/>
    <xf numFmtId="0" fontId="19" fillId="0" borderId="13" xfId="0" applyFont="1" applyBorder="1"/>
    <xf numFmtId="0" fontId="16" fillId="6" borderId="15" xfId="0" applyFont="1" applyFill="1" applyBorder="1"/>
    <xf numFmtId="0" fontId="19" fillId="0" borderId="14" xfId="0" applyFont="1"/>
    <xf numFmtId="0" fontId="16" fillId="0" borderId="14" xfId="0" applyFont="1" applyAlignment="1">
      <alignment horizontal="left"/>
    </xf>
    <xf numFmtId="0" fontId="15" fillId="0" borderId="14" xfId="0" applyFont="1" applyAlignment="1">
      <alignment horizontal="center"/>
    </xf>
    <xf numFmtId="0" fontId="15" fillId="0" borderId="14" xfId="0" applyFont="1" applyAlignment="1">
      <alignment horizontal="left"/>
    </xf>
    <xf numFmtId="3" fontId="16" fillId="0" borderId="15" xfId="0" applyNumberFormat="1" applyFont="1" applyBorder="1"/>
    <xf numFmtId="3" fontId="15" fillId="0" borderId="15" xfId="0" applyNumberFormat="1" applyFont="1" applyBorder="1"/>
    <xf numFmtId="166" fontId="15" fillId="0" borderId="15" xfId="0" applyNumberFormat="1" applyFont="1" applyBorder="1"/>
    <xf numFmtId="167" fontId="15" fillId="0" borderId="15" xfId="0" applyNumberFormat="1" applyFont="1" applyBorder="1"/>
    <xf numFmtId="167" fontId="9" fillId="0" borderId="15" xfId="0" applyNumberFormat="1" applyFont="1" applyBorder="1"/>
    <xf numFmtId="10" fontId="15" fillId="0" borderId="15" xfId="0" applyNumberFormat="1" applyFont="1" applyBorder="1"/>
    <xf numFmtId="165" fontId="9" fillId="0" borderId="15" xfId="0" applyNumberFormat="1" applyFont="1" applyBorder="1"/>
    <xf numFmtId="2" fontId="15" fillId="0" borderId="15" xfId="0" applyNumberFormat="1" applyFont="1" applyBorder="1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5" fillId="0" borderId="16" xfId="0" applyFont="1" applyBorder="1" applyAlignment="1">
      <alignment horizontal="left" vertical="top"/>
    </xf>
    <xf numFmtId="0" fontId="19" fillId="0" borderId="17" xfId="0" applyFont="1" applyBorder="1"/>
    <xf numFmtId="10" fontId="22" fillId="0" borderId="0" xfId="0" applyNumberFormat="1" applyFont="1" applyBorder="1"/>
    <xf numFmtId="3" fontId="22" fillId="0" borderId="1" xfId="0" applyNumberFormat="1" applyFont="1" applyBorder="1"/>
    <xf numFmtId="4" fontId="22" fillId="0" borderId="1" xfId="0" applyNumberFormat="1" applyFont="1" applyBorder="1"/>
    <xf numFmtId="0" fontId="15" fillId="0" borderId="19" xfId="0" applyFont="1" applyBorder="1"/>
    <xf numFmtId="0" fontId="20" fillId="0" borderId="19" xfId="0" applyFont="1" applyBorder="1"/>
    <xf numFmtId="0" fontId="15" fillId="0" borderId="19" xfId="0" applyFont="1" applyBorder="1" applyAlignment="1">
      <alignment horizontal="center"/>
    </xf>
    <xf numFmtId="3" fontId="21" fillId="7" borderId="20" xfId="0" applyNumberFormat="1" applyFont="1" applyFill="1" applyBorder="1" applyAlignment="1">
      <alignment horizontal="right"/>
    </xf>
    <xf numFmtId="3" fontId="15" fillId="7" borderId="20" xfId="0" applyNumberFormat="1" applyFont="1" applyFill="1" applyBorder="1"/>
    <xf numFmtId="3" fontId="16" fillId="7" borderId="20" xfId="0" applyNumberFormat="1" applyFont="1" applyFill="1" applyBorder="1"/>
    <xf numFmtId="3" fontId="22" fillId="0" borderId="20" xfId="0" applyNumberFormat="1" applyFont="1" applyBorder="1"/>
    <xf numFmtId="3" fontId="15" fillId="0" borderId="20" xfId="0" applyNumberFormat="1" applyFont="1" applyBorder="1"/>
    <xf numFmtId="3" fontId="16" fillId="0" borderId="20" xfId="0" applyNumberFormat="1" applyFont="1" applyBorder="1"/>
    <xf numFmtId="2" fontId="22" fillId="0" borderId="20" xfId="0" applyNumberFormat="1" applyFont="1" applyBorder="1"/>
    <xf numFmtId="2" fontId="15" fillId="0" borderId="20" xfId="0" applyNumberFormat="1" applyFont="1" applyBorder="1"/>
    <xf numFmtId="2" fontId="16" fillId="0" borderId="20" xfId="0" applyNumberFormat="1" applyFont="1" applyBorder="1"/>
    <xf numFmtId="0" fontId="17" fillId="0" borderId="19" xfId="0" applyFont="1" applyBorder="1"/>
    <xf numFmtId="165" fontId="15" fillId="0" borderId="20" xfId="0" applyNumberFormat="1" applyFont="1" applyBorder="1"/>
    <xf numFmtId="0" fontId="20" fillId="0" borderId="19" xfId="0" applyFont="1" applyBorder="1" applyAlignment="1">
      <alignment vertical="top"/>
    </xf>
    <xf numFmtId="0" fontId="16" fillId="7" borderId="20" xfId="0" applyFont="1" applyFill="1" applyBorder="1" applyAlignment="1">
      <alignment horizontal="center"/>
    </xf>
    <xf numFmtId="0" fontId="16" fillId="0" borderId="20" xfId="0" applyFont="1" applyBorder="1" applyAlignment="1">
      <alignment horizontal="center"/>
    </xf>
    <xf numFmtId="167" fontId="9" fillId="0" borderId="20" xfId="0" applyNumberFormat="1" applyFont="1" applyBorder="1"/>
    <xf numFmtId="167" fontId="15" fillId="0" borderId="20" xfId="0" applyNumberFormat="1" applyFont="1" applyBorder="1"/>
    <xf numFmtId="0" fontId="16" fillId="6" borderId="19" xfId="0" applyFont="1" applyFill="1" applyBorder="1"/>
    <xf numFmtId="0" fontId="16" fillId="6" borderId="19" xfId="0" applyFont="1" applyFill="1" applyBorder="1" applyAlignment="1">
      <alignment horizontal="center"/>
    </xf>
    <xf numFmtId="167" fontId="16" fillId="6" borderId="20" xfId="0" applyNumberFormat="1" applyFont="1" applyFill="1" applyBorder="1"/>
    <xf numFmtId="3" fontId="9" fillId="0" borderId="20" xfId="0" applyNumberFormat="1" applyFont="1" applyBorder="1" applyAlignment="1">
      <alignment horizontal="right"/>
    </xf>
    <xf numFmtId="3" fontId="16" fillId="6" borderId="20" xfId="0" applyNumberFormat="1" applyFont="1" applyFill="1" applyBorder="1"/>
    <xf numFmtId="167" fontId="9" fillId="0" borderId="20" xfId="0" applyNumberFormat="1" applyFont="1" applyBorder="1" applyAlignment="1">
      <alignment horizontal="right"/>
    </xf>
    <xf numFmtId="0" fontId="15" fillId="0" borderId="19" xfId="0" applyFont="1" applyBorder="1" applyAlignment="1">
      <alignment horizontal="right"/>
    </xf>
    <xf numFmtId="0" fontId="23" fillId="0" borderId="19" xfId="0" applyFont="1" applyBorder="1"/>
    <xf numFmtId="0" fontId="24" fillId="0" borderId="19" xfId="0" applyFont="1" applyBorder="1" applyAlignment="1">
      <alignment horizontal="right"/>
    </xf>
    <xf numFmtId="0" fontId="16" fillId="0" borderId="26" xfId="0" applyFont="1" applyBorder="1" applyAlignment="1">
      <alignment horizontal="center"/>
    </xf>
    <xf numFmtId="0" fontId="16" fillId="0" borderId="19" xfId="0" applyFont="1" applyBorder="1"/>
    <xf numFmtId="165" fontId="22" fillId="0" borderId="20" xfId="0" applyNumberFormat="1" applyFont="1" applyBorder="1"/>
    <xf numFmtId="0" fontId="2" fillId="0" borderId="1" xfId="0" applyFont="1" applyBorder="1" applyAlignment="1">
      <alignment horizontal="center"/>
    </xf>
    <xf numFmtId="0" fontId="0" fillId="0" borderId="4" xfId="0" applyBorder="1"/>
    <xf numFmtId="0" fontId="2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4" fillId="0" borderId="18" xfId="0" applyFont="1" applyBorder="1" applyAlignment="1">
      <alignment horizontal="left" vertical="top" wrapText="1"/>
    </xf>
    <xf numFmtId="0" fontId="0" fillId="0" borderId="17" xfId="0" applyBorder="1"/>
    <xf numFmtId="0" fontId="0" fillId="0" borderId="18" xfId="0" applyBorder="1"/>
    <xf numFmtId="0" fontId="2" fillId="0" borderId="1" xfId="0" applyFont="1" applyBorder="1" applyAlignment="1">
      <alignment horizontal="center" wrapText="1"/>
    </xf>
    <xf numFmtId="0" fontId="16" fillId="0" borderId="20" xfId="0" applyFont="1" applyBorder="1" applyAlignment="1">
      <alignment horizontal="center" vertical="center"/>
    </xf>
    <xf numFmtId="0" fontId="0" fillId="0" borderId="21" xfId="0" applyBorder="1"/>
    <xf numFmtId="0" fontId="15" fillId="0" borderId="19" xfId="0" applyFont="1" applyBorder="1" applyAlignment="1">
      <alignment horizontal="left" vertical="top" wrapText="1"/>
    </xf>
    <xf numFmtId="0" fontId="0" fillId="0" borderId="14" xfId="0"/>
    <xf numFmtId="0" fontId="16" fillId="7" borderId="20" xfId="0" applyFont="1" applyFill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25" fillId="0" borderId="24" xfId="0" applyFont="1" applyBorder="1" applyAlignment="1">
      <alignment horizontal="center"/>
    </xf>
    <xf numFmtId="0" fontId="0" fillId="0" borderId="25" xfId="0" applyBorder="1"/>
  </cellXfs>
  <cellStyles count="3">
    <cellStyle name="20% — акцент4" xfId="2" builtinId="42"/>
    <cellStyle name="Обычный" xfId="0" builtinId="0"/>
    <cellStyle name="Хороший" xfId="1" builtinId="26"/>
  </cellStyles>
  <dxfs count="5">
    <dxf>
      <font>
        <color rgb="FFC00000"/>
      </font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EBITDA</a:t>
            </a:r>
          </a:p>
        </c:rich>
      </c:tx>
      <c:layout/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4472C4"/>
            </a:solidFill>
            <a:ln>
              <a:solidFill>
                <a:srgbClr val="4472C4"/>
              </a:solidFill>
              <a:prstDash val="solid"/>
            </a:ln>
          </c:spPr>
          <c:invertIfNegative val="0"/>
          <c:cat>
            <c:strRef>
              <c:f>'Сценарный анализ'!$H$26:$W$26</c:f>
              <c:strCache>
                <c:ptCount val="16"/>
                <c:pt idx="0">
                  <c:v>1кв Г1</c:v>
                </c:pt>
                <c:pt idx="1">
                  <c:v>2кв Г1</c:v>
                </c:pt>
                <c:pt idx="2">
                  <c:v>3кв Г1</c:v>
                </c:pt>
                <c:pt idx="3">
                  <c:v>4кв Г1</c:v>
                </c:pt>
                <c:pt idx="4">
                  <c:v>1кв Г2</c:v>
                </c:pt>
                <c:pt idx="5">
                  <c:v>2кв Г2</c:v>
                </c:pt>
                <c:pt idx="6">
                  <c:v>3кв Г2</c:v>
                </c:pt>
                <c:pt idx="7">
                  <c:v>4кв Г2</c:v>
                </c:pt>
                <c:pt idx="8">
                  <c:v>1кв Г3</c:v>
                </c:pt>
                <c:pt idx="9">
                  <c:v>2кв Г3</c:v>
                </c:pt>
                <c:pt idx="10">
                  <c:v>3кв Г3</c:v>
                </c:pt>
                <c:pt idx="11">
                  <c:v>4кв Г3</c:v>
                </c:pt>
                <c:pt idx="12">
                  <c:v>1кв Г4</c:v>
                </c:pt>
                <c:pt idx="13">
                  <c:v>2кв Г4</c:v>
                </c:pt>
                <c:pt idx="14">
                  <c:v>3кв Г4</c:v>
                </c:pt>
                <c:pt idx="15">
                  <c:v>4кв Г4</c:v>
                </c:pt>
              </c:strCache>
            </c:strRef>
          </c:cat>
          <c:val>
            <c:numRef>
              <c:f>'Сценарный анализ'!$H$27:$W$27</c:f>
              <c:numCache>
                <c:formatCode>#,##0</c:formatCode>
                <c:ptCount val="16"/>
                <c:pt idx="0">
                  <c:v>-2248.3125</c:v>
                </c:pt>
                <c:pt idx="1">
                  <c:v>-1252.2377585229492</c:v>
                </c:pt>
                <c:pt idx="2">
                  <c:v>-210.45200370694783</c:v>
                </c:pt>
                <c:pt idx="3">
                  <c:v>878.4012244221999</c:v>
                </c:pt>
                <c:pt idx="4">
                  <c:v>1575.2572963897683</c:v>
                </c:pt>
                <c:pt idx="5">
                  <c:v>2718.066633122548</c:v>
                </c:pt>
                <c:pt idx="6">
                  <c:v>3898.5137668573461</c:v>
                </c:pt>
                <c:pt idx="7">
                  <c:v>4284.9906917836997</c:v>
                </c:pt>
                <c:pt idx="8">
                  <c:v>4190.2559892869776</c:v>
                </c:pt>
                <c:pt idx="9">
                  <c:v>4208.4980945557454</c:v>
                </c:pt>
                <c:pt idx="10">
                  <c:v>4226.2167972517082</c:v>
                </c:pt>
                <c:pt idx="11">
                  <c:v>4243.3897511641208</c:v>
                </c:pt>
                <c:pt idx="12">
                  <c:v>3771.0106996253944</c:v>
                </c:pt>
                <c:pt idx="13">
                  <c:v>3777.2430204841921</c:v>
                </c:pt>
                <c:pt idx="14">
                  <c:v>3782.6632788357201</c:v>
                </c:pt>
                <c:pt idx="15">
                  <c:v>3787.2427138947087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3E-45EB-9DB8-A80C20318F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ru-RU"/>
              <a:t>Остаток ДС</a:t>
            </a:r>
          </a:p>
        </c:rich>
      </c:tx>
      <c:layout/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4472C4"/>
            </a:solidFill>
            <a:ln>
              <a:solidFill>
                <a:srgbClr val="4472C4"/>
              </a:solidFill>
              <a:prstDash val="solid"/>
            </a:ln>
          </c:spPr>
          <c:invertIfNegative val="0"/>
          <c:cat>
            <c:strRef>
              <c:f>'Сценарный анализ'!$H$26:$W$26</c:f>
              <c:strCache>
                <c:ptCount val="16"/>
                <c:pt idx="0">
                  <c:v>1кв Г1</c:v>
                </c:pt>
                <c:pt idx="1">
                  <c:v>2кв Г1</c:v>
                </c:pt>
                <c:pt idx="2">
                  <c:v>3кв Г1</c:v>
                </c:pt>
                <c:pt idx="3">
                  <c:v>4кв Г1</c:v>
                </c:pt>
                <c:pt idx="4">
                  <c:v>1кв Г2</c:v>
                </c:pt>
                <c:pt idx="5">
                  <c:v>2кв Г2</c:v>
                </c:pt>
                <c:pt idx="6">
                  <c:v>3кв Г2</c:v>
                </c:pt>
                <c:pt idx="7">
                  <c:v>4кв Г2</c:v>
                </c:pt>
                <c:pt idx="8">
                  <c:v>1кв Г3</c:v>
                </c:pt>
                <c:pt idx="9">
                  <c:v>2кв Г3</c:v>
                </c:pt>
                <c:pt idx="10">
                  <c:v>3кв Г3</c:v>
                </c:pt>
                <c:pt idx="11">
                  <c:v>4кв Г3</c:v>
                </c:pt>
                <c:pt idx="12">
                  <c:v>1кв Г4</c:v>
                </c:pt>
                <c:pt idx="13">
                  <c:v>2кв Г4</c:v>
                </c:pt>
                <c:pt idx="14">
                  <c:v>3кв Г4</c:v>
                </c:pt>
                <c:pt idx="15">
                  <c:v>4кв Г4</c:v>
                </c:pt>
              </c:strCache>
            </c:strRef>
          </c:cat>
          <c:val>
            <c:numRef>
              <c:f>'Сценарный анализ'!$H$28:$W$28</c:f>
              <c:numCache>
                <c:formatCode>#,##0</c:formatCode>
                <c:ptCount val="16"/>
                <c:pt idx="0">
                  <c:v>260.63124999999854</c:v>
                </c:pt>
                <c:pt idx="1">
                  <c:v>2409.3333043557395</c:v>
                </c:pt>
                <c:pt idx="2">
                  <c:v>2891.8780988012118</c:v>
                </c:pt>
                <c:pt idx="3">
                  <c:v>1931.2588187196325</c:v>
                </c:pt>
                <c:pt idx="4">
                  <c:v>1633.7805056431084</c:v>
                </c:pt>
                <c:pt idx="5">
                  <c:v>2351.1782689816077</c:v>
                </c:pt>
                <c:pt idx="6">
                  <c:v>4115.8338653296769</c:v>
                </c:pt>
                <c:pt idx="7">
                  <c:v>6295.7784580230491</c:v>
                </c:pt>
                <c:pt idx="8">
                  <c:v>8370.4096439993064</c:v>
                </c:pt>
                <c:pt idx="9">
                  <c:v>10185.021718279244</c:v>
                </c:pt>
                <c:pt idx="10">
                  <c:v>11998.263115503894</c:v>
                </c:pt>
                <c:pt idx="11">
                  <c:v>13808.158051031856</c:v>
                </c:pt>
                <c:pt idx="12">
                  <c:v>15221.448784729871</c:v>
                </c:pt>
                <c:pt idx="13">
                  <c:v>16619.327481084874</c:v>
                </c:pt>
                <c:pt idx="14">
                  <c:v>17999.362719124125</c:v>
                </c:pt>
                <c:pt idx="15">
                  <c:v>20199.591346981586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5D-4EA5-8C2E-EF805406CB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38</xdr:row>
      <xdr:rowOff>0</xdr:rowOff>
    </xdr:from>
    <xdr:ext cx="6120000" cy="2700000"/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11</xdr:col>
      <xdr:colOff>0</xdr:colOff>
      <xdr:row>38</xdr:row>
      <xdr:rowOff>0</xdr:rowOff>
    </xdr:from>
    <xdr:ext cx="6120000" cy="2700000"/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85"/>
  <sheetViews>
    <sheetView workbookViewId="0">
      <selection activeCell="A60" sqref="A60"/>
    </sheetView>
  </sheetViews>
  <sheetFormatPr defaultColWidth="12.6328125" defaultRowHeight="15.75" customHeight="1" x14ac:dyDescent="0.25"/>
  <cols>
    <col min="1" max="1" width="62.08984375" style="8" customWidth="1"/>
    <col min="3" max="3" width="31.6328125" style="8" customWidth="1"/>
    <col min="5" max="6" width="5.36328125" style="8" customWidth="1"/>
  </cols>
  <sheetData>
    <row r="1" spans="1:23" ht="15.75" customHeight="1" x14ac:dyDescent="0.35">
      <c r="A1" s="157" t="s">
        <v>0</v>
      </c>
      <c r="B1" s="157" t="s">
        <v>1</v>
      </c>
      <c r="C1" s="157" t="s">
        <v>2</v>
      </c>
      <c r="D1" s="157" t="s">
        <v>3</v>
      </c>
      <c r="E1" s="1"/>
      <c r="F1" s="1"/>
      <c r="G1" s="120" t="s">
        <v>4</v>
      </c>
      <c r="H1" s="159" t="s">
        <v>5</v>
      </c>
      <c r="I1" s="160"/>
      <c r="J1" s="160"/>
      <c r="K1" s="161"/>
      <c r="L1" s="159" t="s">
        <v>6</v>
      </c>
      <c r="M1" s="160"/>
      <c r="N1" s="160"/>
      <c r="O1" s="161"/>
      <c r="P1" s="159" t="s">
        <v>7</v>
      </c>
      <c r="Q1" s="160"/>
      <c r="R1" s="160"/>
      <c r="S1" s="161"/>
      <c r="T1" s="159" t="s">
        <v>8</v>
      </c>
      <c r="U1" s="160"/>
      <c r="V1" s="160"/>
      <c r="W1" s="161"/>
    </row>
    <row r="2" spans="1:23" ht="15.75" customHeight="1" x14ac:dyDescent="0.35">
      <c r="A2" s="158"/>
      <c r="B2" s="158"/>
      <c r="C2" s="158"/>
      <c r="D2" s="158"/>
      <c r="E2" s="1"/>
      <c r="F2" s="1"/>
      <c r="G2" s="119" t="s">
        <v>9</v>
      </c>
      <c r="H2" s="119" t="s">
        <v>10</v>
      </c>
      <c r="I2" s="119" t="s">
        <v>11</v>
      </c>
      <c r="J2" s="119" t="s">
        <v>12</v>
      </c>
      <c r="K2" s="119" t="s">
        <v>9</v>
      </c>
      <c r="L2" s="119" t="s">
        <v>10</v>
      </c>
      <c r="M2" s="119" t="s">
        <v>11</v>
      </c>
      <c r="N2" s="119" t="s">
        <v>12</v>
      </c>
      <c r="O2" s="119" t="s">
        <v>9</v>
      </c>
      <c r="P2" s="119" t="s">
        <v>10</v>
      </c>
      <c r="Q2" s="119" t="s">
        <v>11</v>
      </c>
      <c r="R2" s="119" t="s">
        <v>12</v>
      </c>
      <c r="S2" s="119" t="s">
        <v>9</v>
      </c>
      <c r="T2" s="119" t="s">
        <v>10</v>
      </c>
      <c r="U2" s="119" t="s">
        <v>11</v>
      </c>
      <c r="V2" s="119" t="s">
        <v>12</v>
      </c>
      <c r="W2" s="119" t="s">
        <v>9</v>
      </c>
    </row>
    <row r="3" spans="1:23" ht="15.7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3" customHeight="1" x14ac:dyDescent="0.3">
      <c r="A4" s="9" t="s">
        <v>13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5" spans="1:23" ht="15.75" customHeight="1" x14ac:dyDescent="0.35">
      <c r="A5" s="10" t="s">
        <v>14</v>
      </c>
      <c r="B5" s="11" t="s">
        <v>15</v>
      </c>
      <c r="C5" s="10" t="s">
        <v>16</v>
      </c>
      <c r="D5" s="4"/>
      <c r="E5" s="1"/>
      <c r="F5" s="1"/>
      <c r="G5" s="6"/>
      <c r="H5" s="12">
        <v>7.0000000000000007E-2</v>
      </c>
      <c r="I5" s="13">
        <f>H5</f>
        <v>7.0000000000000007E-2</v>
      </c>
      <c r="J5" s="13">
        <f>I5</f>
        <v>7.0000000000000007E-2</v>
      </c>
      <c r="K5" s="13">
        <f>J5</f>
        <v>7.0000000000000007E-2</v>
      </c>
      <c r="L5" s="12">
        <v>0.06</v>
      </c>
      <c r="M5" s="13">
        <f>L5</f>
        <v>0.06</v>
      </c>
      <c r="N5" s="13">
        <f>M5</f>
        <v>0.06</v>
      </c>
      <c r="O5" s="13">
        <f>N5</f>
        <v>0.06</v>
      </c>
      <c r="P5" s="12">
        <v>0.05</v>
      </c>
      <c r="Q5" s="13">
        <f t="shared" ref="Q5:W5" si="0">P5</f>
        <v>0.05</v>
      </c>
      <c r="R5" s="13">
        <f t="shared" si="0"/>
        <v>0.05</v>
      </c>
      <c r="S5" s="13">
        <f t="shared" si="0"/>
        <v>0.05</v>
      </c>
      <c r="T5" s="13">
        <f t="shared" si="0"/>
        <v>0.05</v>
      </c>
      <c r="U5" s="13">
        <f t="shared" si="0"/>
        <v>0.05</v>
      </c>
      <c r="V5" s="13">
        <f t="shared" si="0"/>
        <v>0.05</v>
      </c>
      <c r="W5" s="13">
        <f t="shared" si="0"/>
        <v>0.05</v>
      </c>
    </row>
    <row r="6" spans="1:23" ht="15.75" customHeight="1" x14ac:dyDescent="0.35">
      <c r="A6" s="10" t="s">
        <v>17</v>
      </c>
      <c r="B6" s="11" t="s">
        <v>15</v>
      </c>
      <c r="C6" s="10" t="s">
        <v>18</v>
      </c>
      <c r="D6" s="4"/>
      <c r="E6" s="1"/>
      <c r="F6" s="1"/>
      <c r="G6" s="7"/>
      <c r="H6" s="13">
        <f t="shared" ref="H6:W6" si="1">H5/4</f>
        <v>1.7500000000000002E-2</v>
      </c>
      <c r="I6" s="13">
        <f t="shared" si="1"/>
        <v>1.7500000000000002E-2</v>
      </c>
      <c r="J6" s="13">
        <f t="shared" si="1"/>
        <v>1.7500000000000002E-2</v>
      </c>
      <c r="K6" s="13">
        <f t="shared" si="1"/>
        <v>1.7500000000000002E-2</v>
      </c>
      <c r="L6" s="13">
        <f t="shared" si="1"/>
        <v>1.4999999999999999E-2</v>
      </c>
      <c r="M6" s="13">
        <f t="shared" si="1"/>
        <v>1.4999999999999999E-2</v>
      </c>
      <c r="N6" s="13">
        <f t="shared" si="1"/>
        <v>1.4999999999999999E-2</v>
      </c>
      <c r="O6" s="13">
        <f t="shared" si="1"/>
        <v>1.4999999999999999E-2</v>
      </c>
      <c r="P6" s="13">
        <f t="shared" si="1"/>
        <v>1.2500000000000001E-2</v>
      </c>
      <c r="Q6" s="13">
        <f t="shared" si="1"/>
        <v>1.2500000000000001E-2</v>
      </c>
      <c r="R6" s="13">
        <f t="shared" si="1"/>
        <v>1.2500000000000001E-2</v>
      </c>
      <c r="S6" s="13">
        <f t="shared" si="1"/>
        <v>1.2500000000000001E-2</v>
      </c>
      <c r="T6" s="13">
        <f t="shared" si="1"/>
        <v>1.2500000000000001E-2</v>
      </c>
      <c r="U6" s="13">
        <f t="shared" si="1"/>
        <v>1.2500000000000001E-2</v>
      </c>
      <c r="V6" s="13">
        <f t="shared" si="1"/>
        <v>1.2500000000000001E-2</v>
      </c>
      <c r="W6" s="13">
        <f t="shared" si="1"/>
        <v>1.2500000000000001E-2</v>
      </c>
    </row>
    <row r="7" spans="1:23" ht="15.75" customHeight="1" x14ac:dyDescent="0.35">
      <c r="A7" s="10" t="s">
        <v>19</v>
      </c>
      <c r="B7" s="11" t="s">
        <v>15</v>
      </c>
      <c r="C7" s="10" t="s">
        <v>20</v>
      </c>
      <c r="D7" s="4"/>
      <c r="E7" s="1"/>
      <c r="F7" s="1"/>
      <c r="G7" s="4"/>
      <c r="H7" s="12">
        <v>0.08</v>
      </c>
      <c r="I7" s="13">
        <f t="shared" ref="I7:W7" si="2">H7</f>
        <v>0.08</v>
      </c>
      <c r="J7" s="13">
        <f t="shared" si="2"/>
        <v>0.08</v>
      </c>
      <c r="K7" s="13">
        <f t="shared" si="2"/>
        <v>0.08</v>
      </c>
      <c r="L7" s="13">
        <f t="shared" si="2"/>
        <v>0.08</v>
      </c>
      <c r="M7" s="13">
        <f t="shared" si="2"/>
        <v>0.08</v>
      </c>
      <c r="N7" s="13">
        <f t="shared" si="2"/>
        <v>0.08</v>
      </c>
      <c r="O7" s="13">
        <f t="shared" si="2"/>
        <v>0.08</v>
      </c>
      <c r="P7" s="13">
        <f t="shared" si="2"/>
        <v>0.08</v>
      </c>
      <c r="Q7" s="13">
        <f t="shared" si="2"/>
        <v>0.08</v>
      </c>
      <c r="R7" s="13">
        <f t="shared" si="2"/>
        <v>0.08</v>
      </c>
      <c r="S7" s="13">
        <f t="shared" si="2"/>
        <v>0.08</v>
      </c>
      <c r="T7" s="13">
        <f t="shared" si="2"/>
        <v>0.08</v>
      </c>
      <c r="U7" s="13">
        <f t="shared" si="2"/>
        <v>0.08</v>
      </c>
      <c r="V7" s="13">
        <f t="shared" si="2"/>
        <v>0.08</v>
      </c>
      <c r="W7" s="13">
        <f t="shared" si="2"/>
        <v>0.08</v>
      </c>
    </row>
    <row r="8" spans="1:23" ht="15.75" customHeight="1" x14ac:dyDescent="0.35">
      <c r="A8" s="10" t="s">
        <v>21</v>
      </c>
      <c r="B8" s="11" t="s">
        <v>15</v>
      </c>
      <c r="C8" s="5"/>
      <c r="D8" s="4"/>
      <c r="E8" s="1"/>
      <c r="F8" s="1"/>
      <c r="G8" s="6"/>
      <c r="H8" s="13">
        <f t="shared" ref="H8:W8" si="3">H7/4</f>
        <v>0.02</v>
      </c>
      <c r="I8" s="13">
        <f t="shared" si="3"/>
        <v>0.02</v>
      </c>
      <c r="J8" s="13">
        <f t="shared" si="3"/>
        <v>0.02</v>
      </c>
      <c r="K8" s="13">
        <f t="shared" si="3"/>
        <v>0.02</v>
      </c>
      <c r="L8" s="13">
        <f t="shared" si="3"/>
        <v>0.02</v>
      </c>
      <c r="M8" s="13">
        <f t="shared" si="3"/>
        <v>0.02</v>
      </c>
      <c r="N8" s="13">
        <f t="shared" si="3"/>
        <v>0.02</v>
      </c>
      <c r="O8" s="13">
        <f t="shared" si="3"/>
        <v>0.02</v>
      </c>
      <c r="P8" s="13">
        <f t="shared" si="3"/>
        <v>0.02</v>
      </c>
      <c r="Q8" s="13">
        <f t="shared" si="3"/>
        <v>0.02</v>
      </c>
      <c r="R8" s="13">
        <f t="shared" si="3"/>
        <v>0.02</v>
      </c>
      <c r="S8" s="13">
        <f t="shared" si="3"/>
        <v>0.02</v>
      </c>
      <c r="T8" s="13">
        <f t="shared" si="3"/>
        <v>0.02</v>
      </c>
      <c r="U8" s="13">
        <f t="shared" si="3"/>
        <v>0.02</v>
      </c>
      <c r="V8" s="13">
        <f t="shared" si="3"/>
        <v>0.02</v>
      </c>
      <c r="W8" s="13">
        <f t="shared" si="3"/>
        <v>0.02</v>
      </c>
    </row>
    <row r="9" spans="1:23" ht="15.75" customHeight="1" x14ac:dyDescent="0.35">
      <c r="A9" s="24" t="s">
        <v>22</v>
      </c>
      <c r="B9" s="24" t="s">
        <v>15</v>
      </c>
      <c r="C9" s="24" t="s">
        <v>23</v>
      </c>
      <c r="D9" s="1"/>
      <c r="E9" s="1"/>
      <c r="F9" s="1"/>
      <c r="G9" s="1"/>
      <c r="H9" s="123">
        <f>'Сценарный анализ'!H7</f>
        <v>2.5000000000000001E-2</v>
      </c>
      <c r="I9" s="123">
        <f>'Сценарный анализ'!I7</f>
        <v>2.5000000000000001E-2</v>
      </c>
      <c r="J9" s="123">
        <f>'Сценарный анализ'!J7</f>
        <v>2.5000000000000001E-2</v>
      </c>
      <c r="K9" s="123">
        <f>'Сценарный анализ'!K7</f>
        <v>2.5000000000000001E-2</v>
      </c>
      <c r="L9" s="123">
        <f>'Сценарный анализ'!L7</f>
        <v>2.5000000000000001E-2</v>
      </c>
      <c r="M9" s="123">
        <f>'Сценарный анализ'!M7</f>
        <v>2.5000000000000001E-2</v>
      </c>
      <c r="N9" s="123">
        <f>'Сценарный анализ'!N7</f>
        <v>2.5000000000000001E-2</v>
      </c>
      <c r="O9" s="123">
        <f>'Сценарный анализ'!O7</f>
        <v>2.5000000000000001E-2</v>
      </c>
      <c r="P9" s="123">
        <f>'Сценарный анализ'!P7</f>
        <v>2.5000000000000001E-2</v>
      </c>
      <c r="Q9" s="123">
        <f>'Сценарный анализ'!Q7</f>
        <v>2.5000000000000001E-2</v>
      </c>
      <c r="R9" s="123">
        <f>'Сценарный анализ'!R7</f>
        <v>2.5000000000000001E-2</v>
      </c>
      <c r="S9" s="123">
        <f>'Сценарный анализ'!S7</f>
        <v>2.5000000000000001E-2</v>
      </c>
      <c r="T9" s="123">
        <f>'Сценарный анализ'!T7</f>
        <v>2.5000000000000001E-2</v>
      </c>
      <c r="U9" s="123">
        <f>'Сценарный анализ'!U7</f>
        <v>2.5000000000000001E-2</v>
      </c>
      <c r="V9" s="123">
        <f>'Сценарный анализ'!V7</f>
        <v>2.5000000000000001E-2</v>
      </c>
      <c r="W9" s="123">
        <f>'Сценарный анализ'!W7</f>
        <v>2.5000000000000001E-2</v>
      </c>
    </row>
    <row r="10" spans="1:23" ht="15.75" customHeight="1" x14ac:dyDescent="0.35">
      <c r="A10" s="14" t="s">
        <v>24</v>
      </c>
      <c r="B10" s="14" t="s">
        <v>15</v>
      </c>
      <c r="C10" s="4"/>
      <c r="D10" s="4"/>
      <c r="E10" s="4"/>
      <c r="F10" s="4"/>
      <c r="G10" s="4"/>
      <c r="H10" s="13">
        <f t="shared" ref="H10:W10" si="4">H9/4</f>
        <v>6.2500000000000003E-3</v>
      </c>
      <c r="I10" s="13">
        <f t="shared" si="4"/>
        <v>6.2500000000000003E-3</v>
      </c>
      <c r="J10" s="13">
        <f t="shared" si="4"/>
        <v>6.2500000000000003E-3</v>
      </c>
      <c r="K10" s="13">
        <f t="shared" si="4"/>
        <v>6.2500000000000003E-3</v>
      </c>
      <c r="L10" s="13">
        <f t="shared" si="4"/>
        <v>6.2500000000000003E-3</v>
      </c>
      <c r="M10" s="13">
        <f t="shared" si="4"/>
        <v>6.2500000000000003E-3</v>
      </c>
      <c r="N10" s="13">
        <f t="shared" si="4"/>
        <v>6.2500000000000003E-3</v>
      </c>
      <c r="O10" s="13">
        <f t="shared" si="4"/>
        <v>6.2500000000000003E-3</v>
      </c>
      <c r="P10" s="13">
        <f t="shared" si="4"/>
        <v>6.2500000000000003E-3</v>
      </c>
      <c r="Q10" s="13">
        <f t="shared" si="4"/>
        <v>6.2500000000000003E-3</v>
      </c>
      <c r="R10" s="13">
        <f t="shared" si="4"/>
        <v>6.2500000000000003E-3</v>
      </c>
      <c r="S10" s="13">
        <f t="shared" si="4"/>
        <v>6.2500000000000003E-3</v>
      </c>
      <c r="T10" s="13">
        <f t="shared" si="4"/>
        <v>6.2500000000000003E-3</v>
      </c>
      <c r="U10" s="13">
        <f t="shared" si="4"/>
        <v>6.2500000000000003E-3</v>
      </c>
      <c r="V10" s="13">
        <f t="shared" si="4"/>
        <v>6.2500000000000003E-3</v>
      </c>
      <c r="W10" s="13">
        <f t="shared" si="4"/>
        <v>6.2500000000000003E-3</v>
      </c>
    </row>
    <row r="11" spans="1:23" ht="15.75" customHeight="1" x14ac:dyDescent="0.35">
      <c r="A11" s="10" t="s">
        <v>25</v>
      </c>
      <c r="B11" s="11" t="s">
        <v>26</v>
      </c>
      <c r="C11" s="10" t="s">
        <v>27</v>
      </c>
      <c r="D11" s="12">
        <v>5.0000000000000001E-3</v>
      </c>
      <c r="E11" s="1"/>
      <c r="F11" s="1"/>
      <c r="G11" s="15">
        <v>74</v>
      </c>
      <c r="H11" s="16">
        <f t="shared" ref="H11:W11" si="5">G11*(1+$D$11)</f>
        <v>74.36999999999999</v>
      </c>
      <c r="I11" s="16">
        <f t="shared" si="5"/>
        <v>74.741849999999985</v>
      </c>
      <c r="J11" s="16">
        <f t="shared" si="5"/>
        <v>75.115559249999976</v>
      </c>
      <c r="K11" s="16">
        <f t="shared" si="5"/>
        <v>75.49113704624996</v>
      </c>
      <c r="L11" s="16">
        <f t="shared" si="5"/>
        <v>75.868592731481201</v>
      </c>
      <c r="M11" s="16">
        <f t="shared" si="5"/>
        <v>76.247935695138594</v>
      </c>
      <c r="N11" s="16">
        <f t="shared" si="5"/>
        <v>76.629175373614274</v>
      </c>
      <c r="O11" s="16">
        <f t="shared" si="5"/>
        <v>77.01232125048233</v>
      </c>
      <c r="P11" s="16">
        <f t="shared" si="5"/>
        <v>77.397382856734737</v>
      </c>
      <c r="Q11" s="16">
        <f t="shared" si="5"/>
        <v>77.784369771018405</v>
      </c>
      <c r="R11" s="16">
        <f t="shared" si="5"/>
        <v>78.173291619873481</v>
      </c>
      <c r="S11" s="16">
        <f t="shared" si="5"/>
        <v>78.564158077972834</v>
      </c>
      <c r="T11" s="16">
        <f t="shared" si="5"/>
        <v>78.956978868362697</v>
      </c>
      <c r="U11" s="16">
        <f t="shared" si="5"/>
        <v>79.351763762704508</v>
      </c>
      <c r="V11" s="16">
        <f t="shared" si="5"/>
        <v>79.748522581518017</v>
      </c>
      <c r="W11" s="16">
        <f t="shared" si="5"/>
        <v>80.1472651944256</v>
      </c>
    </row>
    <row r="12" spans="1:23" ht="15.75" customHeight="1" x14ac:dyDescent="0.35">
      <c r="A12" s="2"/>
      <c r="B12" s="3"/>
      <c r="C12" s="5"/>
      <c r="D12" s="4"/>
      <c r="E12" s="1"/>
      <c r="F12" s="1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ht="13" customHeight="1" x14ac:dyDescent="0.3">
      <c r="A13" s="26" t="s">
        <v>28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</row>
    <row r="14" spans="1:23" ht="15.75" customHeight="1" x14ac:dyDescent="0.35">
      <c r="A14" s="14" t="s">
        <v>29</v>
      </c>
      <c r="B14" s="14" t="s">
        <v>30</v>
      </c>
      <c r="C14" s="14" t="s">
        <v>31</v>
      </c>
      <c r="D14" s="124">
        <f>'Сценарный анализ'!$D$12</f>
        <v>3000</v>
      </c>
      <c r="E14" s="4"/>
      <c r="F14" s="4"/>
      <c r="G14" s="17">
        <v>0</v>
      </c>
      <c r="H14" s="17">
        <v>0</v>
      </c>
      <c r="I14" s="18">
        <f t="shared" ref="I14:W14" si="6">MIN(H14+500,$D$14)</f>
        <v>500</v>
      </c>
      <c r="J14" s="18">
        <f t="shared" si="6"/>
        <v>1000</v>
      </c>
      <c r="K14" s="18">
        <f t="shared" si="6"/>
        <v>1500</v>
      </c>
      <c r="L14" s="18">
        <f t="shared" si="6"/>
        <v>2000</v>
      </c>
      <c r="M14" s="18">
        <f t="shared" si="6"/>
        <v>2500</v>
      </c>
      <c r="N14" s="18">
        <f t="shared" si="6"/>
        <v>3000</v>
      </c>
      <c r="O14" s="18">
        <f t="shared" si="6"/>
        <v>3000</v>
      </c>
      <c r="P14" s="18">
        <f t="shared" si="6"/>
        <v>3000</v>
      </c>
      <c r="Q14" s="18">
        <f t="shared" si="6"/>
        <v>3000</v>
      </c>
      <c r="R14" s="18">
        <f t="shared" si="6"/>
        <v>3000</v>
      </c>
      <c r="S14" s="18">
        <f t="shared" si="6"/>
        <v>3000</v>
      </c>
      <c r="T14" s="18">
        <f t="shared" si="6"/>
        <v>3000</v>
      </c>
      <c r="U14" s="18">
        <f t="shared" si="6"/>
        <v>3000</v>
      </c>
      <c r="V14" s="18">
        <f t="shared" si="6"/>
        <v>3000</v>
      </c>
      <c r="W14" s="18">
        <f t="shared" si="6"/>
        <v>3000</v>
      </c>
    </row>
    <row r="15" spans="1:23" ht="15.75" customHeight="1" x14ac:dyDescent="0.35">
      <c r="A15" s="10" t="s">
        <v>32</v>
      </c>
      <c r="B15" s="11" t="s">
        <v>30</v>
      </c>
      <c r="C15" s="10" t="s">
        <v>33</v>
      </c>
      <c r="D15" s="124">
        <f>'Сценарный анализ'!$D$17</f>
        <v>400</v>
      </c>
      <c r="E15" s="1"/>
      <c r="F15" s="1"/>
      <c r="G15" s="17">
        <v>0</v>
      </c>
      <c r="H15" s="17">
        <v>0</v>
      </c>
      <c r="I15" s="18">
        <f t="shared" ref="I15:W15" si="7">MIN(H15+50,$D$15)</f>
        <v>50</v>
      </c>
      <c r="J15" s="18">
        <f t="shared" si="7"/>
        <v>100</v>
      </c>
      <c r="K15" s="18">
        <f t="shared" si="7"/>
        <v>150</v>
      </c>
      <c r="L15" s="18">
        <f t="shared" si="7"/>
        <v>200</v>
      </c>
      <c r="M15" s="18">
        <f t="shared" si="7"/>
        <v>250</v>
      </c>
      <c r="N15" s="18">
        <f t="shared" si="7"/>
        <v>300</v>
      </c>
      <c r="O15" s="18">
        <f t="shared" si="7"/>
        <v>350</v>
      </c>
      <c r="P15" s="18">
        <f t="shared" si="7"/>
        <v>400</v>
      </c>
      <c r="Q15" s="18">
        <f t="shared" si="7"/>
        <v>400</v>
      </c>
      <c r="R15" s="18">
        <f t="shared" si="7"/>
        <v>400</v>
      </c>
      <c r="S15" s="18">
        <f t="shared" si="7"/>
        <v>400</v>
      </c>
      <c r="T15" s="18">
        <f t="shared" si="7"/>
        <v>400</v>
      </c>
      <c r="U15" s="18">
        <f t="shared" si="7"/>
        <v>400</v>
      </c>
      <c r="V15" s="18">
        <f t="shared" si="7"/>
        <v>400</v>
      </c>
      <c r="W15" s="18">
        <f t="shared" si="7"/>
        <v>400</v>
      </c>
    </row>
    <row r="16" spans="1:23" ht="15.75" customHeight="1" x14ac:dyDescent="0.35">
      <c r="A16" s="2"/>
      <c r="B16" s="3"/>
      <c r="C16" s="5"/>
      <c r="D16" s="4"/>
      <c r="E16" s="1"/>
      <c r="F16" s="1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13" customHeight="1" x14ac:dyDescent="0.3">
      <c r="A17" s="26" t="s">
        <v>34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</row>
    <row r="18" spans="1:23" ht="15.75" customHeight="1" x14ac:dyDescent="0.35">
      <c r="A18" s="14" t="s">
        <v>29</v>
      </c>
      <c r="B18" s="14" t="s">
        <v>35</v>
      </c>
      <c r="C18" s="14" t="s">
        <v>36</v>
      </c>
      <c r="D18" s="4"/>
      <c r="E18" s="4"/>
      <c r="F18" s="4"/>
      <c r="G18" s="125">
        <f>'Анализ чувствительности'!$C$3</f>
        <v>4000</v>
      </c>
      <c r="H18" s="16">
        <f t="shared" ref="H18:W18" si="8">G18*(1+H$6)</f>
        <v>4070.0000000000005</v>
      </c>
      <c r="I18" s="16">
        <f t="shared" si="8"/>
        <v>4141.2250000000004</v>
      </c>
      <c r="J18" s="16">
        <f t="shared" si="8"/>
        <v>4213.6964375000007</v>
      </c>
      <c r="K18" s="16">
        <f t="shared" si="8"/>
        <v>4287.4361251562514</v>
      </c>
      <c r="L18" s="16">
        <f t="shared" si="8"/>
        <v>4351.7476670335946</v>
      </c>
      <c r="M18" s="16">
        <f t="shared" si="8"/>
        <v>4417.0238820390978</v>
      </c>
      <c r="N18" s="16">
        <f t="shared" si="8"/>
        <v>4483.2792402696841</v>
      </c>
      <c r="O18" s="16">
        <f t="shared" si="8"/>
        <v>4550.5284288737294</v>
      </c>
      <c r="P18" s="16">
        <f t="shared" si="8"/>
        <v>4607.410034234651</v>
      </c>
      <c r="Q18" s="16">
        <f t="shared" si="8"/>
        <v>4665.0026596625839</v>
      </c>
      <c r="R18" s="16">
        <f t="shared" si="8"/>
        <v>4723.315192908366</v>
      </c>
      <c r="S18" s="16">
        <f t="shared" si="8"/>
        <v>4782.3566328197203</v>
      </c>
      <c r="T18" s="16">
        <f t="shared" si="8"/>
        <v>4842.1360907299668</v>
      </c>
      <c r="U18" s="16">
        <f t="shared" si="8"/>
        <v>4902.6627918640916</v>
      </c>
      <c r="V18" s="16">
        <f t="shared" si="8"/>
        <v>4963.9460767623923</v>
      </c>
      <c r="W18" s="16">
        <f t="shared" si="8"/>
        <v>5025.9954027219219</v>
      </c>
    </row>
    <row r="19" spans="1:23" ht="15.75" customHeight="1" x14ac:dyDescent="0.35">
      <c r="A19" s="10" t="s">
        <v>32</v>
      </c>
      <c r="B19" s="11" t="s">
        <v>35</v>
      </c>
      <c r="C19" s="10" t="s">
        <v>36</v>
      </c>
      <c r="D19" s="6"/>
      <c r="E19" s="1"/>
      <c r="F19" s="1"/>
      <c r="G19" s="125">
        <f>'Анализ чувствительности'!$C$7</f>
        <v>12000</v>
      </c>
      <c r="H19" s="16">
        <f t="shared" ref="H19:W19" si="9">G19*(1+H$6)</f>
        <v>12210</v>
      </c>
      <c r="I19" s="16">
        <f t="shared" si="9"/>
        <v>12423.675000000001</v>
      </c>
      <c r="J19" s="16">
        <f t="shared" si="9"/>
        <v>12641.089312500002</v>
      </c>
      <c r="K19" s="16">
        <f t="shared" si="9"/>
        <v>12862.308375468752</v>
      </c>
      <c r="L19" s="16">
        <f t="shared" si="9"/>
        <v>13055.243001100782</v>
      </c>
      <c r="M19" s="16">
        <f t="shared" si="9"/>
        <v>13251.071646117292</v>
      </c>
      <c r="N19" s="16">
        <f t="shared" si="9"/>
        <v>13449.83772080905</v>
      </c>
      <c r="O19" s="16">
        <f t="shared" si="9"/>
        <v>13651.585286621184</v>
      </c>
      <c r="P19" s="16">
        <f t="shared" si="9"/>
        <v>13822.230102703948</v>
      </c>
      <c r="Q19" s="16">
        <f t="shared" si="9"/>
        <v>13995.007978987747</v>
      </c>
      <c r="R19" s="16">
        <f t="shared" si="9"/>
        <v>14169.945578725094</v>
      </c>
      <c r="S19" s="16">
        <f t="shared" si="9"/>
        <v>14347.069898459156</v>
      </c>
      <c r="T19" s="16">
        <f t="shared" si="9"/>
        <v>14526.408272189896</v>
      </c>
      <c r="U19" s="16">
        <f t="shared" si="9"/>
        <v>14707.988375592269</v>
      </c>
      <c r="V19" s="16">
        <f t="shared" si="9"/>
        <v>14891.838230287172</v>
      </c>
      <c r="W19" s="16">
        <f t="shared" si="9"/>
        <v>15077.986208165761</v>
      </c>
    </row>
    <row r="20" spans="1:23" ht="15.75" customHeight="1" x14ac:dyDescent="0.35">
      <c r="A20" s="2"/>
      <c r="B20" s="3"/>
      <c r="C20" s="5"/>
      <c r="D20" s="4"/>
      <c r="E20" s="1"/>
      <c r="F20" s="1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3" customHeight="1" x14ac:dyDescent="0.3">
      <c r="A21" s="19" t="s">
        <v>37</v>
      </c>
      <c r="B21" s="20"/>
      <c r="C21" s="19"/>
      <c r="D21" s="9"/>
      <c r="E21" s="26"/>
      <c r="F21" s="26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</row>
    <row r="22" spans="1:23" ht="15.75" customHeight="1" x14ac:dyDescent="0.35">
      <c r="A22" s="24" t="s">
        <v>38</v>
      </c>
      <c r="B22" s="24" t="s">
        <v>39</v>
      </c>
      <c r="C22" s="1"/>
      <c r="D22" s="1"/>
      <c r="E22" s="1"/>
      <c r="F22" s="1"/>
      <c r="G22" s="32">
        <v>1.05</v>
      </c>
      <c r="H22" s="21">
        <f t="shared" ref="H22:W22" si="10">G22</f>
        <v>1.05</v>
      </c>
      <c r="I22" s="21">
        <f t="shared" si="10"/>
        <v>1.05</v>
      </c>
      <c r="J22" s="21">
        <f t="shared" si="10"/>
        <v>1.05</v>
      </c>
      <c r="K22" s="21">
        <f t="shared" si="10"/>
        <v>1.05</v>
      </c>
      <c r="L22" s="21">
        <f t="shared" si="10"/>
        <v>1.05</v>
      </c>
      <c r="M22" s="21">
        <f t="shared" si="10"/>
        <v>1.05</v>
      </c>
      <c r="N22" s="21">
        <f t="shared" si="10"/>
        <v>1.05</v>
      </c>
      <c r="O22" s="21">
        <f t="shared" si="10"/>
        <v>1.05</v>
      </c>
      <c r="P22" s="21">
        <f t="shared" si="10"/>
        <v>1.05</v>
      </c>
      <c r="Q22" s="21">
        <f t="shared" si="10"/>
        <v>1.05</v>
      </c>
      <c r="R22" s="21">
        <f t="shared" si="10"/>
        <v>1.05</v>
      </c>
      <c r="S22" s="21">
        <f t="shared" si="10"/>
        <v>1.05</v>
      </c>
      <c r="T22" s="21">
        <f t="shared" si="10"/>
        <v>1.05</v>
      </c>
      <c r="U22" s="21">
        <f t="shared" si="10"/>
        <v>1.05</v>
      </c>
      <c r="V22" s="21">
        <f t="shared" si="10"/>
        <v>1.05</v>
      </c>
      <c r="W22" s="21">
        <f t="shared" si="10"/>
        <v>1.05</v>
      </c>
    </row>
    <row r="23" spans="1:23" ht="15.75" customHeight="1" x14ac:dyDescent="0.35">
      <c r="A23" s="14" t="s">
        <v>40</v>
      </c>
      <c r="B23" s="14" t="s">
        <v>39</v>
      </c>
      <c r="C23" s="4"/>
      <c r="D23" s="4"/>
      <c r="E23" s="4"/>
      <c r="F23" s="4"/>
      <c r="G23" s="22">
        <v>1.1200000000000001</v>
      </c>
      <c r="H23" s="23">
        <f t="shared" ref="H23:W23" si="11">G23</f>
        <v>1.1200000000000001</v>
      </c>
      <c r="I23" s="23">
        <f t="shared" si="11"/>
        <v>1.1200000000000001</v>
      </c>
      <c r="J23" s="23">
        <f t="shared" si="11"/>
        <v>1.1200000000000001</v>
      </c>
      <c r="K23" s="23">
        <f t="shared" si="11"/>
        <v>1.1200000000000001</v>
      </c>
      <c r="L23" s="23">
        <f t="shared" si="11"/>
        <v>1.1200000000000001</v>
      </c>
      <c r="M23" s="23">
        <f t="shared" si="11"/>
        <v>1.1200000000000001</v>
      </c>
      <c r="N23" s="23">
        <f t="shared" si="11"/>
        <v>1.1200000000000001</v>
      </c>
      <c r="O23" s="23">
        <f t="shared" si="11"/>
        <v>1.1200000000000001</v>
      </c>
      <c r="P23" s="23">
        <f t="shared" si="11"/>
        <v>1.1200000000000001</v>
      </c>
      <c r="Q23" s="23">
        <f t="shared" si="11"/>
        <v>1.1200000000000001</v>
      </c>
      <c r="R23" s="23">
        <f t="shared" si="11"/>
        <v>1.1200000000000001</v>
      </c>
      <c r="S23" s="23">
        <f t="shared" si="11"/>
        <v>1.1200000000000001</v>
      </c>
      <c r="T23" s="23">
        <f t="shared" si="11"/>
        <v>1.1200000000000001</v>
      </c>
      <c r="U23" s="23">
        <f t="shared" si="11"/>
        <v>1.1200000000000001</v>
      </c>
      <c r="V23" s="23">
        <f t="shared" si="11"/>
        <v>1.1200000000000001</v>
      </c>
      <c r="W23" s="23">
        <f t="shared" si="11"/>
        <v>1.1200000000000001</v>
      </c>
    </row>
    <row r="24" spans="1:23" ht="15.75" customHeight="1" x14ac:dyDescent="0.35">
      <c r="A24" s="10" t="s">
        <v>41</v>
      </c>
      <c r="B24" s="11" t="s">
        <v>42</v>
      </c>
      <c r="C24" s="5"/>
      <c r="D24" s="6"/>
      <c r="E24" s="1"/>
      <c r="F24" s="1"/>
      <c r="G24" s="22">
        <v>50</v>
      </c>
      <c r="H24" s="23">
        <f t="shared" ref="H24:W24" si="12">G24</f>
        <v>50</v>
      </c>
      <c r="I24" s="23">
        <f t="shared" si="12"/>
        <v>50</v>
      </c>
      <c r="J24" s="23">
        <f t="shared" si="12"/>
        <v>50</v>
      </c>
      <c r="K24" s="23">
        <f t="shared" si="12"/>
        <v>50</v>
      </c>
      <c r="L24" s="23">
        <f t="shared" si="12"/>
        <v>50</v>
      </c>
      <c r="M24" s="23">
        <f t="shared" si="12"/>
        <v>50</v>
      </c>
      <c r="N24" s="23">
        <f t="shared" si="12"/>
        <v>50</v>
      </c>
      <c r="O24" s="23">
        <f t="shared" si="12"/>
        <v>50</v>
      </c>
      <c r="P24" s="23">
        <f t="shared" si="12"/>
        <v>50</v>
      </c>
      <c r="Q24" s="23">
        <f t="shared" si="12"/>
        <v>50</v>
      </c>
      <c r="R24" s="23">
        <f t="shared" si="12"/>
        <v>50</v>
      </c>
      <c r="S24" s="23">
        <f t="shared" si="12"/>
        <v>50</v>
      </c>
      <c r="T24" s="23">
        <f t="shared" si="12"/>
        <v>50</v>
      </c>
      <c r="U24" s="23">
        <f t="shared" si="12"/>
        <v>50</v>
      </c>
      <c r="V24" s="23">
        <f t="shared" si="12"/>
        <v>50</v>
      </c>
      <c r="W24" s="23">
        <f t="shared" si="12"/>
        <v>50</v>
      </c>
    </row>
    <row r="25" spans="1:23" ht="15.75" customHeight="1" x14ac:dyDescent="0.35">
      <c r="A25" s="10" t="s">
        <v>43</v>
      </c>
      <c r="B25" s="11" t="s">
        <v>42</v>
      </c>
      <c r="C25" s="5"/>
      <c r="D25" s="6"/>
      <c r="E25" s="1"/>
      <c r="F25" s="1"/>
      <c r="G25" s="22">
        <v>200</v>
      </c>
      <c r="H25" s="23">
        <f t="shared" ref="H25:W25" si="13">G25</f>
        <v>200</v>
      </c>
      <c r="I25" s="23">
        <f t="shared" si="13"/>
        <v>200</v>
      </c>
      <c r="J25" s="23">
        <f t="shared" si="13"/>
        <v>200</v>
      </c>
      <c r="K25" s="23">
        <f t="shared" si="13"/>
        <v>200</v>
      </c>
      <c r="L25" s="23">
        <f t="shared" si="13"/>
        <v>200</v>
      </c>
      <c r="M25" s="23">
        <f t="shared" si="13"/>
        <v>200</v>
      </c>
      <c r="N25" s="23">
        <f t="shared" si="13"/>
        <v>200</v>
      </c>
      <c r="O25" s="23">
        <f t="shared" si="13"/>
        <v>200</v>
      </c>
      <c r="P25" s="23">
        <f t="shared" si="13"/>
        <v>200</v>
      </c>
      <c r="Q25" s="23">
        <f t="shared" si="13"/>
        <v>200</v>
      </c>
      <c r="R25" s="23">
        <f t="shared" si="13"/>
        <v>200</v>
      </c>
      <c r="S25" s="23">
        <f t="shared" si="13"/>
        <v>200</v>
      </c>
      <c r="T25" s="23">
        <f t="shared" si="13"/>
        <v>200</v>
      </c>
      <c r="U25" s="23">
        <f t="shared" si="13"/>
        <v>200</v>
      </c>
      <c r="V25" s="23">
        <f t="shared" si="13"/>
        <v>200</v>
      </c>
      <c r="W25" s="23">
        <f t="shared" si="13"/>
        <v>200</v>
      </c>
    </row>
    <row r="26" spans="1:23" ht="15.75" customHeight="1" x14ac:dyDescent="0.35">
      <c r="A26" s="10" t="s">
        <v>44</v>
      </c>
      <c r="B26" s="11" t="s">
        <v>45</v>
      </c>
      <c r="C26" s="5"/>
      <c r="D26" s="6"/>
      <c r="E26" s="1"/>
      <c r="F26" s="1"/>
      <c r="G26" s="22">
        <v>0.5</v>
      </c>
      <c r="H26" s="23">
        <f t="shared" ref="H26:W26" si="14">G26</f>
        <v>0.5</v>
      </c>
      <c r="I26" s="23">
        <f t="shared" si="14"/>
        <v>0.5</v>
      </c>
      <c r="J26" s="23">
        <f t="shared" si="14"/>
        <v>0.5</v>
      </c>
      <c r="K26" s="23">
        <f t="shared" si="14"/>
        <v>0.5</v>
      </c>
      <c r="L26" s="23">
        <f t="shared" si="14"/>
        <v>0.5</v>
      </c>
      <c r="M26" s="23">
        <f t="shared" si="14"/>
        <v>0.5</v>
      </c>
      <c r="N26" s="23">
        <f t="shared" si="14"/>
        <v>0.5</v>
      </c>
      <c r="O26" s="23">
        <f t="shared" si="14"/>
        <v>0.5</v>
      </c>
      <c r="P26" s="23">
        <f t="shared" si="14"/>
        <v>0.5</v>
      </c>
      <c r="Q26" s="23">
        <f t="shared" si="14"/>
        <v>0.5</v>
      </c>
      <c r="R26" s="23">
        <f t="shared" si="14"/>
        <v>0.5</v>
      </c>
      <c r="S26" s="23">
        <f t="shared" si="14"/>
        <v>0.5</v>
      </c>
      <c r="T26" s="23">
        <f t="shared" si="14"/>
        <v>0.5</v>
      </c>
      <c r="U26" s="23">
        <f t="shared" si="14"/>
        <v>0.5</v>
      </c>
      <c r="V26" s="23">
        <f t="shared" si="14"/>
        <v>0.5</v>
      </c>
      <c r="W26" s="23">
        <f t="shared" si="14"/>
        <v>0.5</v>
      </c>
    </row>
    <row r="27" spans="1:23" ht="15.75" customHeight="1" x14ac:dyDescent="0.35">
      <c r="A27" s="24" t="s">
        <v>46</v>
      </c>
      <c r="B27" s="24" t="s">
        <v>45</v>
      </c>
      <c r="C27" s="1"/>
      <c r="D27" s="1"/>
      <c r="E27" s="1"/>
      <c r="F27" s="1"/>
      <c r="G27" s="32">
        <v>1.25</v>
      </c>
      <c r="H27" s="21">
        <f t="shared" ref="H27:W27" si="15">G27</f>
        <v>1.25</v>
      </c>
      <c r="I27" s="21">
        <f t="shared" si="15"/>
        <v>1.25</v>
      </c>
      <c r="J27" s="21">
        <f t="shared" si="15"/>
        <v>1.25</v>
      </c>
      <c r="K27" s="21">
        <f t="shared" si="15"/>
        <v>1.25</v>
      </c>
      <c r="L27" s="21">
        <f t="shared" si="15"/>
        <v>1.25</v>
      </c>
      <c r="M27" s="21">
        <f t="shared" si="15"/>
        <v>1.25</v>
      </c>
      <c r="N27" s="21">
        <f t="shared" si="15"/>
        <v>1.25</v>
      </c>
      <c r="O27" s="21">
        <f t="shared" si="15"/>
        <v>1.25</v>
      </c>
      <c r="P27" s="21">
        <f t="shared" si="15"/>
        <v>1.25</v>
      </c>
      <c r="Q27" s="21">
        <f t="shared" si="15"/>
        <v>1.25</v>
      </c>
      <c r="R27" s="21">
        <f t="shared" si="15"/>
        <v>1.25</v>
      </c>
      <c r="S27" s="21">
        <f t="shared" si="15"/>
        <v>1.25</v>
      </c>
      <c r="T27" s="21">
        <f t="shared" si="15"/>
        <v>1.25</v>
      </c>
      <c r="U27" s="21">
        <f t="shared" si="15"/>
        <v>1.25</v>
      </c>
      <c r="V27" s="21">
        <f t="shared" si="15"/>
        <v>1.25</v>
      </c>
      <c r="W27" s="21">
        <f t="shared" si="15"/>
        <v>1.25</v>
      </c>
    </row>
    <row r="28" spans="1:23" ht="15.75" customHeight="1" x14ac:dyDescent="0.35">
      <c r="A28" s="14" t="s">
        <v>47</v>
      </c>
      <c r="B28" s="14" t="s">
        <v>45</v>
      </c>
      <c r="C28" s="4"/>
      <c r="D28" s="4"/>
      <c r="E28" s="4"/>
      <c r="F28" s="4"/>
      <c r="G28" s="22">
        <v>0.1</v>
      </c>
      <c r="H28" s="23">
        <f t="shared" ref="H28:W28" si="16">G28</f>
        <v>0.1</v>
      </c>
      <c r="I28" s="23">
        <f t="shared" si="16"/>
        <v>0.1</v>
      </c>
      <c r="J28" s="23">
        <f t="shared" si="16"/>
        <v>0.1</v>
      </c>
      <c r="K28" s="23">
        <f t="shared" si="16"/>
        <v>0.1</v>
      </c>
      <c r="L28" s="23">
        <f t="shared" si="16"/>
        <v>0.1</v>
      </c>
      <c r="M28" s="23">
        <f t="shared" si="16"/>
        <v>0.1</v>
      </c>
      <c r="N28" s="23">
        <f t="shared" si="16"/>
        <v>0.1</v>
      </c>
      <c r="O28" s="23">
        <f t="shared" si="16"/>
        <v>0.1</v>
      </c>
      <c r="P28" s="23">
        <f t="shared" si="16"/>
        <v>0.1</v>
      </c>
      <c r="Q28" s="23">
        <f t="shared" si="16"/>
        <v>0.1</v>
      </c>
      <c r="R28" s="23">
        <f t="shared" si="16"/>
        <v>0.1</v>
      </c>
      <c r="S28" s="23">
        <f t="shared" si="16"/>
        <v>0.1</v>
      </c>
      <c r="T28" s="23">
        <f t="shared" si="16"/>
        <v>0.1</v>
      </c>
      <c r="U28" s="23">
        <f t="shared" si="16"/>
        <v>0.1</v>
      </c>
      <c r="V28" s="23">
        <f t="shared" si="16"/>
        <v>0.1</v>
      </c>
      <c r="W28" s="23">
        <f t="shared" si="16"/>
        <v>0.1</v>
      </c>
    </row>
    <row r="29" spans="1:23" ht="15.75" customHeight="1" x14ac:dyDescent="0.35">
      <c r="A29" s="10" t="s">
        <v>48</v>
      </c>
      <c r="B29" s="11" t="s">
        <v>45</v>
      </c>
      <c r="C29" s="5"/>
      <c r="D29" s="6"/>
      <c r="E29" s="1"/>
      <c r="F29" s="1"/>
      <c r="G29" s="22">
        <v>1.5</v>
      </c>
      <c r="H29" s="23">
        <f t="shared" ref="H29:W29" si="17">G29</f>
        <v>1.5</v>
      </c>
      <c r="I29" s="23">
        <f t="shared" si="17"/>
        <v>1.5</v>
      </c>
      <c r="J29" s="23">
        <f t="shared" si="17"/>
        <v>1.5</v>
      </c>
      <c r="K29" s="23">
        <f t="shared" si="17"/>
        <v>1.5</v>
      </c>
      <c r="L29" s="23">
        <f t="shared" si="17"/>
        <v>1.5</v>
      </c>
      <c r="M29" s="23">
        <f t="shared" si="17"/>
        <v>1.5</v>
      </c>
      <c r="N29" s="23">
        <f t="shared" si="17"/>
        <v>1.5</v>
      </c>
      <c r="O29" s="23">
        <f t="shared" si="17"/>
        <v>1.5</v>
      </c>
      <c r="P29" s="23">
        <f t="shared" si="17"/>
        <v>1.5</v>
      </c>
      <c r="Q29" s="23">
        <f t="shared" si="17"/>
        <v>1.5</v>
      </c>
      <c r="R29" s="23">
        <f t="shared" si="17"/>
        <v>1.5</v>
      </c>
      <c r="S29" s="23">
        <f t="shared" si="17"/>
        <v>1.5</v>
      </c>
      <c r="T29" s="23">
        <f t="shared" si="17"/>
        <v>1.5</v>
      </c>
      <c r="U29" s="23">
        <f t="shared" si="17"/>
        <v>1.5</v>
      </c>
      <c r="V29" s="23">
        <f t="shared" si="17"/>
        <v>1.5</v>
      </c>
      <c r="W29" s="23">
        <f t="shared" si="17"/>
        <v>1.5</v>
      </c>
    </row>
    <row r="30" spans="1:23" ht="15.75" customHeight="1" x14ac:dyDescent="0.35">
      <c r="A30" s="10" t="s">
        <v>49</v>
      </c>
      <c r="B30" s="11" t="s">
        <v>35</v>
      </c>
      <c r="C30" s="10" t="s">
        <v>50</v>
      </c>
      <c r="D30" s="6"/>
      <c r="E30" s="1"/>
      <c r="F30" s="1"/>
      <c r="G30" s="15">
        <v>250</v>
      </c>
      <c r="H30" s="16">
        <f t="shared" ref="H30:W30" si="18">G30*(1+H$6)</f>
        <v>254.37500000000003</v>
      </c>
      <c r="I30" s="16">
        <f t="shared" si="18"/>
        <v>258.82656250000002</v>
      </c>
      <c r="J30" s="16">
        <f t="shared" si="18"/>
        <v>263.35602734375004</v>
      </c>
      <c r="K30" s="16">
        <f t="shared" si="18"/>
        <v>267.96475782226571</v>
      </c>
      <c r="L30" s="16">
        <f t="shared" si="18"/>
        <v>271.98422918959966</v>
      </c>
      <c r="M30" s="16">
        <f t="shared" si="18"/>
        <v>276.06399262744361</v>
      </c>
      <c r="N30" s="16">
        <f t="shared" si="18"/>
        <v>280.20495251685526</v>
      </c>
      <c r="O30" s="16">
        <f t="shared" si="18"/>
        <v>284.40802680460808</v>
      </c>
      <c r="P30" s="16">
        <f t="shared" si="18"/>
        <v>287.96312713966569</v>
      </c>
      <c r="Q30" s="16">
        <f t="shared" si="18"/>
        <v>291.5626662289115</v>
      </c>
      <c r="R30" s="16">
        <f t="shared" si="18"/>
        <v>295.20719955677288</v>
      </c>
      <c r="S30" s="16">
        <f t="shared" si="18"/>
        <v>298.89728955123252</v>
      </c>
      <c r="T30" s="16">
        <f t="shared" si="18"/>
        <v>302.63350567062292</v>
      </c>
      <c r="U30" s="16">
        <f t="shared" si="18"/>
        <v>306.41642449150572</v>
      </c>
      <c r="V30" s="16">
        <f t="shared" si="18"/>
        <v>310.24662979764952</v>
      </c>
      <c r="W30" s="16">
        <f t="shared" si="18"/>
        <v>314.12471267012012</v>
      </c>
    </row>
    <row r="31" spans="1:23" ht="15.75" customHeight="1" x14ac:dyDescent="0.35">
      <c r="A31" s="10" t="s">
        <v>51</v>
      </c>
      <c r="B31" s="11" t="s">
        <v>35</v>
      </c>
      <c r="C31" s="10" t="s">
        <v>50</v>
      </c>
      <c r="D31" s="6"/>
      <c r="E31" s="1"/>
      <c r="F31" s="1"/>
      <c r="G31" s="15">
        <v>600</v>
      </c>
      <c r="H31" s="16">
        <f t="shared" ref="H31:W31" si="19">G31*(1+H$6)</f>
        <v>610.5</v>
      </c>
      <c r="I31" s="16">
        <f t="shared" si="19"/>
        <v>621.18375000000003</v>
      </c>
      <c r="J31" s="16">
        <f t="shared" si="19"/>
        <v>632.05446562500003</v>
      </c>
      <c r="K31" s="16">
        <f t="shared" si="19"/>
        <v>643.11541877343757</v>
      </c>
      <c r="L31" s="16">
        <f t="shared" si="19"/>
        <v>652.76215005503911</v>
      </c>
      <c r="M31" s="16">
        <f t="shared" si="19"/>
        <v>662.55358230586467</v>
      </c>
      <c r="N31" s="16">
        <f t="shared" si="19"/>
        <v>672.49188604045253</v>
      </c>
      <c r="O31" s="16">
        <f t="shared" si="19"/>
        <v>682.57926433105922</v>
      </c>
      <c r="P31" s="16">
        <f t="shared" si="19"/>
        <v>691.11150513519738</v>
      </c>
      <c r="Q31" s="16">
        <f t="shared" si="19"/>
        <v>699.75039894938732</v>
      </c>
      <c r="R31" s="16">
        <f t="shared" si="19"/>
        <v>708.49727893625459</v>
      </c>
      <c r="S31" s="16">
        <f t="shared" si="19"/>
        <v>717.35349492295779</v>
      </c>
      <c r="T31" s="16">
        <f t="shared" si="19"/>
        <v>726.32041360949472</v>
      </c>
      <c r="U31" s="16">
        <f t="shared" si="19"/>
        <v>735.39941877961337</v>
      </c>
      <c r="V31" s="16">
        <f t="shared" si="19"/>
        <v>744.59191151435846</v>
      </c>
      <c r="W31" s="16">
        <f t="shared" si="19"/>
        <v>753.89931040828787</v>
      </c>
    </row>
    <row r="32" spans="1:23" ht="15.75" customHeight="1" x14ac:dyDescent="0.35">
      <c r="A32" s="2"/>
      <c r="B32" s="3"/>
      <c r="C32" s="5"/>
      <c r="D32" s="6"/>
      <c r="E32" s="1"/>
      <c r="F32" s="1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3" customHeight="1" x14ac:dyDescent="0.3">
      <c r="A33" s="26" t="s">
        <v>52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</row>
    <row r="34" spans="1:23" ht="15.75" customHeight="1" x14ac:dyDescent="0.35">
      <c r="A34" s="14" t="s">
        <v>53</v>
      </c>
      <c r="B34" s="14" t="s">
        <v>35</v>
      </c>
      <c r="C34" s="14" t="s">
        <v>54</v>
      </c>
      <c r="D34" s="4"/>
      <c r="E34" s="4"/>
      <c r="F34" s="4"/>
      <c r="G34" s="15">
        <v>1500</v>
      </c>
      <c r="H34" s="16">
        <f t="shared" ref="H34:W34" si="20">G34*(1+H$10)*(H$11/G$11)</f>
        <v>1516.921875</v>
      </c>
      <c r="I34" s="16">
        <f t="shared" si="20"/>
        <v>1534.0346499023437</v>
      </c>
      <c r="J34" s="16">
        <f t="shared" si="20"/>
        <v>1551.3404782965545</v>
      </c>
      <c r="K34" s="16">
        <f t="shared" si="20"/>
        <v>1568.8415380673375</v>
      </c>
      <c r="L34" s="16">
        <f t="shared" si="20"/>
        <v>1586.5400316686596</v>
      </c>
      <c r="M34" s="16">
        <f t="shared" si="20"/>
        <v>1604.4381864009215</v>
      </c>
      <c r="N34" s="16">
        <f t="shared" si="20"/>
        <v>1622.538254691257</v>
      </c>
      <c r="O34" s="16">
        <f t="shared" si="20"/>
        <v>1640.8425143769928</v>
      </c>
      <c r="P34" s="16">
        <f t="shared" si="20"/>
        <v>1659.3532689923081</v>
      </c>
      <c r="Q34" s="16">
        <f t="shared" si="20"/>
        <v>1678.0728480581276</v>
      </c>
      <c r="R34" s="16">
        <f t="shared" si="20"/>
        <v>1697.0036073752833</v>
      </c>
      <c r="S34" s="16">
        <f t="shared" si="20"/>
        <v>1716.1479293209857</v>
      </c>
      <c r="T34" s="16">
        <f t="shared" si="20"/>
        <v>1735.5082231486381</v>
      </c>
      <c r="U34" s="16">
        <f t="shared" si="20"/>
        <v>1755.0869252910336</v>
      </c>
      <c r="V34" s="16">
        <f t="shared" si="20"/>
        <v>1774.8864996669731</v>
      </c>
      <c r="W34" s="16">
        <f t="shared" si="20"/>
        <v>1794.9094379913413</v>
      </c>
    </row>
    <row r="35" spans="1:23" ht="15.75" customHeight="1" x14ac:dyDescent="0.35">
      <c r="A35" s="10" t="s">
        <v>55</v>
      </c>
      <c r="B35" s="11" t="s">
        <v>35</v>
      </c>
      <c r="C35" s="10" t="s">
        <v>54</v>
      </c>
      <c r="D35" s="6"/>
      <c r="E35" s="1"/>
      <c r="F35" s="1"/>
      <c r="G35" s="15">
        <v>2500</v>
      </c>
      <c r="H35" s="16">
        <f t="shared" ref="H35:W35" si="21">G35*(1+H$10)*(H$11/G$11)</f>
        <v>2528.2031249999995</v>
      </c>
      <c r="I35" s="16">
        <f t="shared" si="21"/>
        <v>2556.7244165039056</v>
      </c>
      <c r="J35" s="16">
        <f t="shared" si="21"/>
        <v>2585.56746382759</v>
      </c>
      <c r="K35" s="16">
        <f t="shared" si="21"/>
        <v>2614.735896778895</v>
      </c>
      <c r="L35" s="16">
        <f t="shared" si="21"/>
        <v>2644.2333861144321</v>
      </c>
      <c r="M35" s="16">
        <f t="shared" si="21"/>
        <v>2674.0636440015355</v>
      </c>
      <c r="N35" s="16">
        <f t="shared" si="21"/>
        <v>2704.2304244854276</v>
      </c>
      <c r="O35" s="16">
        <f t="shared" si="21"/>
        <v>2734.7375239616536</v>
      </c>
      <c r="P35" s="16">
        <f t="shared" si="21"/>
        <v>2765.5887816538457</v>
      </c>
      <c r="Q35" s="16">
        <f t="shared" si="21"/>
        <v>2796.7880800968778</v>
      </c>
      <c r="R35" s="16">
        <f t="shared" si="21"/>
        <v>2828.3393456254703</v>
      </c>
      <c r="S35" s="16">
        <f t="shared" si="21"/>
        <v>2860.2465488683074</v>
      </c>
      <c r="T35" s="16">
        <f t="shared" si="21"/>
        <v>2892.513705247728</v>
      </c>
      <c r="U35" s="16">
        <f t="shared" si="21"/>
        <v>2925.1448754850539</v>
      </c>
      <c r="V35" s="16">
        <f t="shared" si="21"/>
        <v>2958.1441661116201</v>
      </c>
      <c r="W35" s="16">
        <f t="shared" si="21"/>
        <v>2991.5157299855668</v>
      </c>
    </row>
    <row r="36" spans="1:23" ht="15.75" customHeight="1" x14ac:dyDescent="0.35">
      <c r="A36" s="10" t="s">
        <v>56</v>
      </c>
      <c r="B36" s="11" t="s">
        <v>57</v>
      </c>
      <c r="C36" s="10" t="s">
        <v>50</v>
      </c>
      <c r="D36" s="6"/>
      <c r="E36" s="1"/>
      <c r="F36" s="1"/>
      <c r="G36" s="15">
        <v>6</v>
      </c>
      <c r="H36" s="16">
        <f t="shared" ref="H36:W36" si="22">G36*(1+H$6)</f>
        <v>6.1050000000000004</v>
      </c>
      <c r="I36" s="16">
        <f t="shared" si="22"/>
        <v>6.2118375000000006</v>
      </c>
      <c r="J36" s="16">
        <f t="shared" si="22"/>
        <v>6.3205446562500009</v>
      </c>
      <c r="K36" s="16">
        <f t="shared" si="22"/>
        <v>6.4311541877343767</v>
      </c>
      <c r="L36" s="16">
        <f t="shared" si="22"/>
        <v>6.5276215005503921</v>
      </c>
      <c r="M36" s="16">
        <f t="shared" si="22"/>
        <v>6.6255358230586472</v>
      </c>
      <c r="N36" s="16">
        <f t="shared" si="22"/>
        <v>6.724918860404526</v>
      </c>
      <c r="O36" s="16">
        <f t="shared" si="22"/>
        <v>6.8257926433105931</v>
      </c>
      <c r="P36" s="16">
        <f t="shared" si="22"/>
        <v>6.9111150513519748</v>
      </c>
      <c r="Q36" s="16">
        <f t="shared" si="22"/>
        <v>6.9975039894938744</v>
      </c>
      <c r="R36" s="16">
        <f t="shared" si="22"/>
        <v>7.0849727893625474</v>
      </c>
      <c r="S36" s="16">
        <f t="shared" si="22"/>
        <v>7.1735349492295786</v>
      </c>
      <c r="T36" s="16">
        <f t="shared" si="22"/>
        <v>7.2632041360949477</v>
      </c>
      <c r="U36" s="16">
        <f t="shared" si="22"/>
        <v>7.3539941877961343</v>
      </c>
      <c r="V36" s="16">
        <f t="shared" si="22"/>
        <v>7.4459191151435853</v>
      </c>
      <c r="W36" s="16">
        <f t="shared" si="22"/>
        <v>7.5389931040828797</v>
      </c>
    </row>
    <row r="37" spans="1:23" ht="15.75" customHeight="1" x14ac:dyDescent="0.35">
      <c r="A37" s="10" t="s">
        <v>58</v>
      </c>
      <c r="B37" s="11" t="s">
        <v>59</v>
      </c>
      <c r="C37" s="10" t="s">
        <v>60</v>
      </c>
      <c r="D37" s="6"/>
      <c r="E37" s="1"/>
      <c r="F37" s="1"/>
      <c r="G37" s="17">
        <v>150000</v>
      </c>
      <c r="H37" s="18">
        <f t="shared" ref="H37:W37" si="23">G37*(1+H$8)</f>
        <v>153000</v>
      </c>
      <c r="I37" s="18">
        <f t="shared" si="23"/>
        <v>156060</v>
      </c>
      <c r="J37" s="18">
        <f t="shared" si="23"/>
        <v>159181.20000000001</v>
      </c>
      <c r="K37" s="18">
        <f t="shared" si="23"/>
        <v>162364.82400000002</v>
      </c>
      <c r="L37" s="18">
        <f t="shared" si="23"/>
        <v>165612.12048000001</v>
      </c>
      <c r="M37" s="18">
        <f t="shared" si="23"/>
        <v>168924.36288960002</v>
      </c>
      <c r="N37" s="18">
        <f t="shared" si="23"/>
        <v>172302.85014739202</v>
      </c>
      <c r="O37" s="18">
        <f t="shared" si="23"/>
        <v>175748.90715033986</v>
      </c>
      <c r="P37" s="18">
        <f t="shared" si="23"/>
        <v>179263.88529334666</v>
      </c>
      <c r="Q37" s="18">
        <f t="shared" si="23"/>
        <v>182849.16299921359</v>
      </c>
      <c r="R37" s="18">
        <f t="shared" si="23"/>
        <v>186506.14625919785</v>
      </c>
      <c r="S37" s="18">
        <f t="shared" si="23"/>
        <v>190236.26918438182</v>
      </c>
      <c r="T37" s="18">
        <f t="shared" si="23"/>
        <v>194040.99456806947</v>
      </c>
      <c r="U37" s="18">
        <f t="shared" si="23"/>
        <v>197921.81445943087</v>
      </c>
      <c r="V37" s="18">
        <f t="shared" si="23"/>
        <v>201880.2507486195</v>
      </c>
      <c r="W37" s="18">
        <f t="shared" si="23"/>
        <v>205917.85576359188</v>
      </c>
    </row>
    <row r="38" spans="1:23" ht="14.5" customHeight="1" x14ac:dyDescent="0.35">
      <c r="A38" s="10" t="s">
        <v>61</v>
      </c>
      <c r="B38" s="11" t="s">
        <v>59</v>
      </c>
      <c r="C38" s="10" t="s">
        <v>60</v>
      </c>
      <c r="D38" s="6"/>
      <c r="E38" s="1"/>
      <c r="F38" s="1"/>
      <c r="G38" s="17">
        <v>75000</v>
      </c>
      <c r="H38" s="18">
        <f t="shared" ref="H38:W38" si="24">G38*(1+H$8)</f>
        <v>76500</v>
      </c>
      <c r="I38" s="18">
        <f t="shared" si="24"/>
        <v>78030</v>
      </c>
      <c r="J38" s="18">
        <f t="shared" si="24"/>
        <v>79590.600000000006</v>
      </c>
      <c r="K38" s="18">
        <f t="shared" si="24"/>
        <v>81182.412000000011</v>
      </c>
      <c r="L38" s="18">
        <f t="shared" si="24"/>
        <v>82806.060240000006</v>
      </c>
      <c r="M38" s="18">
        <f t="shared" si="24"/>
        <v>84462.181444800008</v>
      </c>
      <c r="N38" s="18">
        <f t="shared" si="24"/>
        <v>86151.425073696009</v>
      </c>
      <c r="O38" s="18">
        <f t="shared" si="24"/>
        <v>87874.45357516993</v>
      </c>
      <c r="P38" s="18">
        <f t="shared" si="24"/>
        <v>89631.942646673328</v>
      </c>
      <c r="Q38" s="18">
        <f t="shared" si="24"/>
        <v>91424.581499606793</v>
      </c>
      <c r="R38" s="18">
        <f t="shared" si="24"/>
        <v>93253.073129598924</v>
      </c>
      <c r="S38" s="18">
        <f t="shared" si="24"/>
        <v>95118.134592190909</v>
      </c>
      <c r="T38" s="18">
        <f t="shared" si="24"/>
        <v>97020.497284034733</v>
      </c>
      <c r="U38" s="18">
        <f t="shared" si="24"/>
        <v>98960.907229715434</v>
      </c>
      <c r="V38" s="18">
        <f t="shared" si="24"/>
        <v>100940.12537430975</v>
      </c>
      <c r="W38" s="18">
        <f t="shared" si="24"/>
        <v>102958.92788179594</v>
      </c>
    </row>
    <row r="39" spans="1:23" ht="14.5" customHeight="1" x14ac:dyDescent="0.35">
      <c r="A39" s="24" t="s">
        <v>62</v>
      </c>
      <c r="B39" s="24" t="s">
        <v>63</v>
      </c>
      <c r="C39" s="1"/>
      <c r="D39" s="1"/>
      <c r="E39" s="1"/>
      <c r="F39" s="1"/>
      <c r="G39" s="32">
        <v>4.5</v>
      </c>
      <c r="H39" s="21">
        <f t="shared" ref="H39:W39" si="25">G39</f>
        <v>4.5</v>
      </c>
      <c r="I39" s="21">
        <f t="shared" si="25"/>
        <v>4.5</v>
      </c>
      <c r="J39" s="21">
        <f t="shared" si="25"/>
        <v>4.5</v>
      </c>
      <c r="K39" s="21">
        <f t="shared" si="25"/>
        <v>4.5</v>
      </c>
      <c r="L39" s="21">
        <f t="shared" si="25"/>
        <v>4.5</v>
      </c>
      <c r="M39" s="21">
        <f t="shared" si="25"/>
        <v>4.5</v>
      </c>
      <c r="N39" s="21">
        <f t="shared" si="25"/>
        <v>4.5</v>
      </c>
      <c r="O39" s="21">
        <f t="shared" si="25"/>
        <v>4.5</v>
      </c>
      <c r="P39" s="21">
        <f t="shared" si="25"/>
        <v>4.5</v>
      </c>
      <c r="Q39" s="21">
        <f t="shared" si="25"/>
        <v>4.5</v>
      </c>
      <c r="R39" s="21">
        <f t="shared" si="25"/>
        <v>4.5</v>
      </c>
      <c r="S39" s="21">
        <f t="shared" si="25"/>
        <v>4.5</v>
      </c>
      <c r="T39" s="21">
        <f t="shared" si="25"/>
        <v>4.5</v>
      </c>
      <c r="U39" s="21">
        <f t="shared" si="25"/>
        <v>4.5</v>
      </c>
      <c r="V39" s="21">
        <f t="shared" si="25"/>
        <v>4.5</v>
      </c>
      <c r="W39" s="21">
        <f t="shared" si="25"/>
        <v>4.5</v>
      </c>
    </row>
    <row r="40" spans="1:23" ht="14.5" customHeight="1" x14ac:dyDescent="0.35">
      <c r="A40" s="14" t="s">
        <v>64</v>
      </c>
      <c r="B40" s="14" t="s">
        <v>65</v>
      </c>
      <c r="C40" s="4"/>
      <c r="D40" s="4"/>
      <c r="E40" s="4"/>
      <c r="F40" s="4"/>
      <c r="G40" s="17">
        <v>40</v>
      </c>
      <c r="H40" s="18">
        <f t="shared" ref="H40:W40" si="26">G40</f>
        <v>40</v>
      </c>
      <c r="I40" s="18">
        <f t="shared" si="26"/>
        <v>40</v>
      </c>
      <c r="J40" s="18">
        <f t="shared" si="26"/>
        <v>40</v>
      </c>
      <c r="K40" s="18">
        <f t="shared" si="26"/>
        <v>40</v>
      </c>
      <c r="L40" s="18">
        <f t="shared" si="26"/>
        <v>40</v>
      </c>
      <c r="M40" s="18">
        <f t="shared" si="26"/>
        <v>40</v>
      </c>
      <c r="N40" s="18">
        <f t="shared" si="26"/>
        <v>40</v>
      </c>
      <c r="O40" s="18">
        <f t="shared" si="26"/>
        <v>40</v>
      </c>
      <c r="P40" s="18">
        <f t="shared" si="26"/>
        <v>40</v>
      </c>
      <c r="Q40" s="18">
        <f t="shared" si="26"/>
        <v>40</v>
      </c>
      <c r="R40" s="18">
        <f t="shared" si="26"/>
        <v>40</v>
      </c>
      <c r="S40" s="18">
        <f t="shared" si="26"/>
        <v>40</v>
      </c>
      <c r="T40" s="18">
        <f t="shared" si="26"/>
        <v>40</v>
      </c>
      <c r="U40" s="18">
        <f t="shared" si="26"/>
        <v>40</v>
      </c>
      <c r="V40" s="18">
        <f t="shared" si="26"/>
        <v>40</v>
      </c>
      <c r="W40" s="18">
        <f t="shared" si="26"/>
        <v>40</v>
      </c>
    </row>
    <row r="41" spans="1:23" ht="14.5" customHeight="1" x14ac:dyDescent="0.35">
      <c r="A41" s="10" t="s">
        <v>66</v>
      </c>
      <c r="B41" s="11" t="s">
        <v>67</v>
      </c>
      <c r="C41" s="5"/>
      <c r="D41" s="6"/>
      <c r="E41" s="1"/>
      <c r="F41" s="1"/>
      <c r="G41" s="16">
        <f t="shared" ref="G41:W41" si="27">G37/(G39*G40)</f>
        <v>833.33333333333337</v>
      </c>
      <c r="H41" s="16">
        <f t="shared" si="27"/>
        <v>850</v>
      </c>
      <c r="I41" s="16">
        <f t="shared" si="27"/>
        <v>867</v>
      </c>
      <c r="J41" s="16">
        <f t="shared" si="27"/>
        <v>884.34</v>
      </c>
      <c r="K41" s="16">
        <f t="shared" si="27"/>
        <v>902.02680000000009</v>
      </c>
      <c r="L41" s="16">
        <f t="shared" si="27"/>
        <v>920.06733600000007</v>
      </c>
      <c r="M41" s="16">
        <f t="shared" si="27"/>
        <v>938.46868272000006</v>
      </c>
      <c r="N41" s="16">
        <f t="shared" si="27"/>
        <v>957.23805637440012</v>
      </c>
      <c r="O41" s="16">
        <f t="shared" si="27"/>
        <v>976.3828175018881</v>
      </c>
      <c r="P41" s="16">
        <f t="shared" si="27"/>
        <v>995.91047385192587</v>
      </c>
      <c r="Q41" s="16">
        <f t="shared" si="27"/>
        <v>1015.8286833289644</v>
      </c>
      <c r="R41" s="16">
        <f t="shared" si="27"/>
        <v>1036.1452569955436</v>
      </c>
      <c r="S41" s="16">
        <f t="shared" si="27"/>
        <v>1056.8681621354544</v>
      </c>
      <c r="T41" s="16">
        <f t="shared" si="27"/>
        <v>1078.0055253781636</v>
      </c>
      <c r="U41" s="16">
        <f t="shared" si="27"/>
        <v>1099.565635885727</v>
      </c>
      <c r="V41" s="16">
        <f t="shared" si="27"/>
        <v>1121.5569486034417</v>
      </c>
      <c r="W41" s="16">
        <f t="shared" si="27"/>
        <v>1143.9880875755105</v>
      </c>
    </row>
    <row r="42" spans="1:23" ht="12.5" customHeight="1" x14ac:dyDescent="0.25">
      <c r="A42" s="24" t="s">
        <v>68</v>
      </c>
      <c r="B42" s="24" t="s">
        <v>67</v>
      </c>
      <c r="G42" s="25">
        <f t="shared" ref="G42:W42" si="28">G38/(G39*G40)</f>
        <v>416.66666666666669</v>
      </c>
      <c r="H42" s="25">
        <f t="shared" si="28"/>
        <v>425</v>
      </c>
      <c r="I42" s="25">
        <f t="shared" si="28"/>
        <v>433.5</v>
      </c>
      <c r="J42" s="25">
        <f t="shared" si="28"/>
        <v>442.17</v>
      </c>
      <c r="K42" s="25">
        <f t="shared" si="28"/>
        <v>451.01340000000005</v>
      </c>
      <c r="L42" s="25">
        <f t="shared" si="28"/>
        <v>460.03366800000003</v>
      </c>
      <c r="M42" s="25">
        <f t="shared" si="28"/>
        <v>469.23434136000003</v>
      </c>
      <c r="N42" s="25">
        <f t="shared" si="28"/>
        <v>478.61902818720006</v>
      </c>
      <c r="O42" s="25">
        <f t="shared" si="28"/>
        <v>488.19140875094405</v>
      </c>
      <c r="P42" s="25">
        <f t="shared" si="28"/>
        <v>497.95523692596294</v>
      </c>
      <c r="Q42" s="25">
        <f t="shared" si="28"/>
        <v>507.91434166448221</v>
      </c>
      <c r="R42" s="25">
        <f t="shared" si="28"/>
        <v>518.0726284977718</v>
      </c>
      <c r="S42" s="25">
        <f t="shared" si="28"/>
        <v>528.43408106772722</v>
      </c>
      <c r="T42" s="25">
        <f t="shared" si="28"/>
        <v>539.00276268908181</v>
      </c>
      <c r="U42" s="25">
        <f t="shared" si="28"/>
        <v>549.78281794286352</v>
      </c>
      <c r="V42" s="25">
        <f t="shared" si="28"/>
        <v>560.77847430172085</v>
      </c>
      <c r="W42" s="25">
        <f t="shared" si="28"/>
        <v>571.99404378775523</v>
      </c>
    </row>
    <row r="44" spans="1:23" ht="13" customHeight="1" x14ac:dyDescent="0.3">
      <c r="A44" s="26" t="s">
        <v>69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</row>
    <row r="45" spans="1:23" ht="12.5" customHeight="1" x14ac:dyDescent="0.25">
      <c r="A45" s="24" t="s">
        <v>70</v>
      </c>
      <c r="B45" s="24" t="s">
        <v>71</v>
      </c>
      <c r="C45" s="24" t="s">
        <v>50</v>
      </c>
      <c r="G45" s="27">
        <v>300</v>
      </c>
      <c r="H45" s="28">
        <f t="shared" ref="H45:W45" si="29">G45*(1+H$6)</f>
        <v>305.25</v>
      </c>
      <c r="I45" s="28">
        <f t="shared" si="29"/>
        <v>310.59187500000002</v>
      </c>
      <c r="J45" s="28">
        <f t="shared" si="29"/>
        <v>316.02723281250002</v>
      </c>
      <c r="K45" s="28">
        <f t="shared" si="29"/>
        <v>321.55770938671878</v>
      </c>
      <c r="L45" s="28">
        <f t="shared" si="29"/>
        <v>326.38107502751956</v>
      </c>
      <c r="M45" s="28">
        <f t="shared" si="29"/>
        <v>331.27679115293233</v>
      </c>
      <c r="N45" s="28">
        <f t="shared" si="29"/>
        <v>336.24594302022626</v>
      </c>
      <c r="O45" s="28">
        <f t="shared" si="29"/>
        <v>341.28963216552961</v>
      </c>
      <c r="P45" s="28">
        <f t="shared" si="29"/>
        <v>345.55575256759869</v>
      </c>
      <c r="Q45" s="28">
        <f t="shared" si="29"/>
        <v>349.87519947469366</v>
      </c>
      <c r="R45" s="28">
        <f t="shared" si="29"/>
        <v>354.24863946812729</v>
      </c>
      <c r="S45" s="28">
        <f t="shared" si="29"/>
        <v>358.6767474614789</v>
      </c>
      <c r="T45" s="28">
        <f t="shared" si="29"/>
        <v>363.16020680474736</v>
      </c>
      <c r="U45" s="28">
        <f t="shared" si="29"/>
        <v>367.69970938980669</v>
      </c>
      <c r="V45" s="28">
        <f t="shared" si="29"/>
        <v>372.29595575717923</v>
      </c>
      <c r="W45" s="28">
        <f t="shared" si="29"/>
        <v>376.94965520414394</v>
      </c>
    </row>
    <row r="46" spans="1:23" ht="12.5" customHeight="1" x14ac:dyDescent="0.25">
      <c r="A46" s="24" t="s">
        <v>72</v>
      </c>
      <c r="B46" s="24" t="s">
        <v>73</v>
      </c>
      <c r="C46" s="24" t="s">
        <v>74</v>
      </c>
      <c r="G46" s="27">
        <v>0</v>
      </c>
      <c r="H46" s="27">
        <v>5</v>
      </c>
      <c r="I46" s="28">
        <f>H46</f>
        <v>5</v>
      </c>
      <c r="J46" s="28">
        <f>I46</f>
        <v>5</v>
      </c>
      <c r="K46" s="28">
        <f>J46</f>
        <v>5</v>
      </c>
      <c r="L46" s="28">
        <f>K46+1</f>
        <v>6</v>
      </c>
      <c r="M46" s="28">
        <f>L46</f>
        <v>6</v>
      </c>
      <c r="N46" s="28">
        <f>M46</f>
        <v>6</v>
      </c>
      <c r="O46" s="28">
        <f>N46</f>
        <v>6</v>
      </c>
      <c r="P46" s="28">
        <f>O46+1</f>
        <v>7</v>
      </c>
      <c r="Q46" s="28">
        <f>P46</f>
        <v>7</v>
      </c>
      <c r="R46" s="28">
        <f>Q46</f>
        <v>7</v>
      </c>
      <c r="S46" s="28">
        <f>R46</f>
        <v>7</v>
      </c>
      <c r="T46" s="28">
        <f>S46+1</f>
        <v>8</v>
      </c>
      <c r="U46" s="28">
        <f>T46</f>
        <v>8</v>
      </c>
      <c r="V46" s="28">
        <f>U46</f>
        <v>8</v>
      </c>
      <c r="W46" s="28">
        <f>V46</f>
        <v>8</v>
      </c>
    </row>
    <row r="47" spans="1:23" ht="12.5" customHeight="1" x14ac:dyDescent="0.25">
      <c r="A47" s="24" t="s">
        <v>75</v>
      </c>
      <c r="B47" s="24" t="s">
        <v>76</v>
      </c>
      <c r="C47" s="24" t="s">
        <v>60</v>
      </c>
      <c r="G47" s="29">
        <v>120</v>
      </c>
      <c r="H47" s="25">
        <f t="shared" ref="H47:W47" si="30">G47*(1+H$8)</f>
        <v>122.4</v>
      </c>
      <c r="I47" s="25">
        <f t="shared" si="30"/>
        <v>124.84800000000001</v>
      </c>
      <c r="J47" s="25">
        <f t="shared" si="30"/>
        <v>127.34496000000001</v>
      </c>
      <c r="K47" s="25">
        <f t="shared" si="30"/>
        <v>129.89185920000003</v>
      </c>
      <c r="L47" s="25">
        <f t="shared" si="30"/>
        <v>132.48969638400004</v>
      </c>
      <c r="M47" s="25">
        <f t="shared" si="30"/>
        <v>135.13949031168005</v>
      </c>
      <c r="N47" s="25">
        <f t="shared" si="30"/>
        <v>137.84228011791365</v>
      </c>
      <c r="O47" s="25">
        <f t="shared" si="30"/>
        <v>140.59912572027193</v>
      </c>
      <c r="P47" s="25">
        <f t="shared" si="30"/>
        <v>143.41110823467736</v>
      </c>
      <c r="Q47" s="25">
        <f t="shared" si="30"/>
        <v>146.27933039937091</v>
      </c>
      <c r="R47" s="25">
        <f t="shared" si="30"/>
        <v>149.20491700735832</v>
      </c>
      <c r="S47" s="25">
        <f t="shared" si="30"/>
        <v>152.18901534750549</v>
      </c>
      <c r="T47" s="25">
        <f t="shared" si="30"/>
        <v>155.2327956544556</v>
      </c>
      <c r="U47" s="25">
        <f t="shared" si="30"/>
        <v>158.33745156754472</v>
      </c>
      <c r="V47" s="25">
        <f t="shared" si="30"/>
        <v>161.50420059889561</v>
      </c>
      <c r="W47" s="25">
        <f t="shared" si="30"/>
        <v>164.73428461087352</v>
      </c>
    </row>
    <row r="48" spans="1:23" ht="12.5" customHeight="1" x14ac:dyDescent="0.25">
      <c r="A48" s="24" t="s">
        <v>75</v>
      </c>
      <c r="B48" s="24" t="s">
        <v>77</v>
      </c>
      <c r="G48" s="25">
        <f t="shared" ref="G48:W48" si="31">G47*3</f>
        <v>360</v>
      </c>
      <c r="H48" s="25">
        <f t="shared" si="31"/>
        <v>367.20000000000005</v>
      </c>
      <c r="I48" s="25">
        <f t="shared" si="31"/>
        <v>374.54400000000004</v>
      </c>
      <c r="J48" s="25">
        <f t="shared" si="31"/>
        <v>382.03488000000004</v>
      </c>
      <c r="K48" s="25">
        <f t="shared" si="31"/>
        <v>389.67557760000011</v>
      </c>
      <c r="L48" s="25">
        <f t="shared" si="31"/>
        <v>397.46908915200015</v>
      </c>
      <c r="M48" s="25">
        <f t="shared" si="31"/>
        <v>405.41847093504015</v>
      </c>
      <c r="N48" s="25">
        <f t="shared" si="31"/>
        <v>413.52684035374091</v>
      </c>
      <c r="O48" s="25">
        <f t="shared" si="31"/>
        <v>421.79737716081581</v>
      </c>
      <c r="P48" s="25">
        <f t="shared" si="31"/>
        <v>430.23332470403204</v>
      </c>
      <c r="Q48" s="25">
        <f t="shared" si="31"/>
        <v>438.83799119811272</v>
      </c>
      <c r="R48" s="25">
        <f t="shared" si="31"/>
        <v>447.61475102207498</v>
      </c>
      <c r="S48" s="25">
        <f t="shared" si="31"/>
        <v>456.56704604251649</v>
      </c>
      <c r="T48" s="25">
        <f t="shared" si="31"/>
        <v>465.69838696336683</v>
      </c>
      <c r="U48" s="25">
        <f t="shared" si="31"/>
        <v>475.01235470263418</v>
      </c>
      <c r="V48" s="25">
        <f t="shared" si="31"/>
        <v>484.51260179668679</v>
      </c>
      <c r="W48" s="25">
        <f t="shared" si="31"/>
        <v>494.20285383262058</v>
      </c>
    </row>
    <row r="49" spans="1:23" ht="12.5" customHeight="1" x14ac:dyDescent="0.25">
      <c r="A49" s="24" t="s">
        <v>78</v>
      </c>
      <c r="B49" s="24" t="s">
        <v>79</v>
      </c>
      <c r="G49" s="30">
        <v>0.05</v>
      </c>
      <c r="H49" s="31">
        <f t="shared" ref="H49:W49" si="32">G49</f>
        <v>0.05</v>
      </c>
      <c r="I49" s="31">
        <f t="shared" si="32"/>
        <v>0.05</v>
      </c>
      <c r="J49" s="31">
        <f t="shared" si="32"/>
        <v>0.05</v>
      </c>
      <c r="K49" s="31">
        <f t="shared" si="32"/>
        <v>0.05</v>
      </c>
      <c r="L49" s="31">
        <f t="shared" si="32"/>
        <v>0.05</v>
      </c>
      <c r="M49" s="31">
        <f t="shared" si="32"/>
        <v>0.05</v>
      </c>
      <c r="N49" s="31">
        <f t="shared" si="32"/>
        <v>0.05</v>
      </c>
      <c r="O49" s="31">
        <f t="shared" si="32"/>
        <v>0.05</v>
      </c>
      <c r="P49" s="31">
        <f t="shared" si="32"/>
        <v>0.05</v>
      </c>
      <c r="Q49" s="31">
        <f t="shared" si="32"/>
        <v>0.05</v>
      </c>
      <c r="R49" s="31">
        <f t="shared" si="32"/>
        <v>0.05</v>
      </c>
      <c r="S49" s="31">
        <f t="shared" si="32"/>
        <v>0.05</v>
      </c>
      <c r="T49" s="31">
        <f t="shared" si="32"/>
        <v>0.05</v>
      </c>
      <c r="U49" s="31">
        <f t="shared" si="32"/>
        <v>0.05</v>
      </c>
      <c r="V49" s="31">
        <f t="shared" si="32"/>
        <v>0.05</v>
      </c>
      <c r="W49" s="31">
        <f t="shared" si="32"/>
        <v>0.05</v>
      </c>
    </row>
    <row r="51" spans="1:23" ht="13" customHeight="1" x14ac:dyDescent="0.3">
      <c r="A51" s="26" t="s">
        <v>80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</row>
    <row r="52" spans="1:23" ht="12.5" customHeight="1" x14ac:dyDescent="0.25">
      <c r="A52" s="24" t="s">
        <v>81</v>
      </c>
      <c r="B52" s="24" t="s">
        <v>82</v>
      </c>
      <c r="C52" s="24" t="s">
        <v>83</v>
      </c>
      <c r="G52" s="27">
        <v>7</v>
      </c>
      <c r="H52" s="28">
        <f t="shared" ref="H52:W52" si="33">G52</f>
        <v>7</v>
      </c>
      <c r="I52" s="28">
        <f t="shared" si="33"/>
        <v>7</v>
      </c>
      <c r="J52" s="28">
        <f t="shared" si="33"/>
        <v>7</v>
      </c>
      <c r="K52" s="28">
        <f t="shared" si="33"/>
        <v>7</v>
      </c>
      <c r="L52" s="28">
        <f t="shared" si="33"/>
        <v>7</v>
      </c>
      <c r="M52" s="28">
        <f t="shared" si="33"/>
        <v>7</v>
      </c>
      <c r="N52" s="28">
        <f t="shared" si="33"/>
        <v>7</v>
      </c>
      <c r="O52" s="28">
        <f t="shared" si="33"/>
        <v>7</v>
      </c>
      <c r="P52" s="28">
        <f t="shared" si="33"/>
        <v>7</v>
      </c>
      <c r="Q52" s="28">
        <f t="shared" si="33"/>
        <v>7</v>
      </c>
      <c r="R52" s="28">
        <f t="shared" si="33"/>
        <v>7</v>
      </c>
      <c r="S52" s="28">
        <f t="shared" si="33"/>
        <v>7</v>
      </c>
      <c r="T52" s="28">
        <f t="shared" si="33"/>
        <v>7</v>
      </c>
      <c r="U52" s="28">
        <f t="shared" si="33"/>
        <v>7</v>
      </c>
      <c r="V52" s="28">
        <f t="shared" si="33"/>
        <v>7</v>
      </c>
      <c r="W52" s="28">
        <f t="shared" si="33"/>
        <v>7</v>
      </c>
    </row>
    <row r="53" spans="1:23" ht="12.5" customHeight="1" x14ac:dyDescent="0.25">
      <c r="A53" s="24" t="s">
        <v>84</v>
      </c>
      <c r="B53" s="24" t="s">
        <v>82</v>
      </c>
      <c r="C53" s="24" t="s">
        <v>85</v>
      </c>
      <c r="G53" s="27">
        <v>5</v>
      </c>
      <c r="H53" s="28">
        <f t="shared" ref="H53:W53" si="34">G53</f>
        <v>5</v>
      </c>
      <c r="I53" s="28">
        <f t="shared" si="34"/>
        <v>5</v>
      </c>
      <c r="J53" s="28">
        <f t="shared" si="34"/>
        <v>5</v>
      </c>
      <c r="K53" s="28">
        <f t="shared" si="34"/>
        <v>5</v>
      </c>
      <c r="L53" s="28">
        <f t="shared" si="34"/>
        <v>5</v>
      </c>
      <c r="M53" s="28">
        <f t="shared" si="34"/>
        <v>5</v>
      </c>
      <c r="N53" s="28">
        <f t="shared" si="34"/>
        <v>5</v>
      </c>
      <c r="O53" s="28">
        <f t="shared" si="34"/>
        <v>5</v>
      </c>
      <c r="P53" s="28">
        <f t="shared" si="34"/>
        <v>5</v>
      </c>
      <c r="Q53" s="28">
        <f t="shared" si="34"/>
        <v>5</v>
      </c>
      <c r="R53" s="28">
        <f t="shared" si="34"/>
        <v>5</v>
      </c>
      <c r="S53" s="28">
        <f t="shared" si="34"/>
        <v>5</v>
      </c>
      <c r="T53" s="28">
        <f t="shared" si="34"/>
        <v>5</v>
      </c>
      <c r="U53" s="28">
        <f t="shared" si="34"/>
        <v>5</v>
      </c>
      <c r="V53" s="28">
        <f t="shared" si="34"/>
        <v>5</v>
      </c>
      <c r="W53" s="28">
        <f t="shared" si="34"/>
        <v>5</v>
      </c>
    </row>
    <row r="54" spans="1:23" ht="12.5" customHeight="1" x14ac:dyDescent="0.25">
      <c r="A54" s="24" t="s">
        <v>86</v>
      </c>
      <c r="B54" s="24" t="s">
        <v>82</v>
      </c>
      <c r="G54" s="27">
        <v>15</v>
      </c>
      <c r="H54" s="28">
        <f t="shared" ref="H54:W54" si="35">G54</f>
        <v>15</v>
      </c>
      <c r="I54" s="28">
        <f t="shared" si="35"/>
        <v>15</v>
      </c>
      <c r="J54" s="28">
        <f t="shared" si="35"/>
        <v>15</v>
      </c>
      <c r="K54" s="28">
        <f t="shared" si="35"/>
        <v>15</v>
      </c>
      <c r="L54" s="28">
        <f t="shared" si="35"/>
        <v>15</v>
      </c>
      <c r="M54" s="28">
        <f t="shared" si="35"/>
        <v>15</v>
      </c>
      <c r="N54" s="28">
        <f t="shared" si="35"/>
        <v>15</v>
      </c>
      <c r="O54" s="28">
        <f t="shared" si="35"/>
        <v>15</v>
      </c>
      <c r="P54" s="28">
        <f t="shared" si="35"/>
        <v>15</v>
      </c>
      <c r="Q54" s="28">
        <f t="shared" si="35"/>
        <v>15</v>
      </c>
      <c r="R54" s="28">
        <f t="shared" si="35"/>
        <v>15</v>
      </c>
      <c r="S54" s="28">
        <f t="shared" si="35"/>
        <v>15</v>
      </c>
      <c r="T54" s="28">
        <f t="shared" si="35"/>
        <v>15</v>
      </c>
      <c r="U54" s="28">
        <f t="shared" si="35"/>
        <v>15</v>
      </c>
      <c r="V54" s="28">
        <f t="shared" si="35"/>
        <v>15</v>
      </c>
      <c r="W54" s="28">
        <f t="shared" si="35"/>
        <v>15</v>
      </c>
    </row>
    <row r="56" spans="1:23" ht="13" customHeight="1" x14ac:dyDescent="0.3">
      <c r="A56" s="26" t="s">
        <v>87</v>
      </c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</row>
    <row r="57" spans="1:23" ht="12.5" customHeight="1" x14ac:dyDescent="0.25">
      <c r="A57" s="24" t="s">
        <v>88</v>
      </c>
      <c r="B57" s="24" t="s">
        <v>89</v>
      </c>
      <c r="C57" s="24" t="s">
        <v>90</v>
      </c>
      <c r="D57" s="27">
        <v>12500</v>
      </c>
    </row>
    <row r="58" spans="1:23" ht="12.5" customHeight="1" x14ac:dyDescent="0.25">
      <c r="A58" s="24" t="s">
        <v>91</v>
      </c>
      <c r="B58" s="24" t="s">
        <v>92</v>
      </c>
      <c r="D58" s="27">
        <v>3</v>
      </c>
    </row>
    <row r="59" spans="1:23" ht="12.5" customHeight="1" x14ac:dyDescent="0.25">
      <c r="A59" s="24" t="s">
        <v>93</v>
      </c>
      <c r="B59" s="24" t="s">
        <v>92</v>
      </c>
      <c r="D59" s="27">
        <v>5</v>
      </c>
    </row>
    <row r="61" spans="1:23" ht="13" customHeight="1" x14ac:dyDescent="0.3">
      <c r="A61" s="26" t="s">
        <v>94</v>
      </c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</row>
    <row r="62" spans="1:23" ht="12.5" customHeight="1" x14ac:dyDescent="0.25">
      <c r="A62" s="24" t="s">
        <v>95</v>
      </c>
      <c r="B62" s="24" t="s">
        <v>89</v>
      </c>
      <c r="C62" s="24" t="s">
        <v>96</v>
      </c>
      <c r="G62" s="27">
        <v>0</v>
      </c>
      <c r="H62" s="27">
        <v>4000</v>
      </c>
      <c r="I62" s="27">
        <v>5000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0</v>
      </c>
      <c r="U62" s="27">
        <v>0</v>
      </c>
      <c r="V62" s="27">
        <v>0</v>
      </c>
      <c r="W62" s="27">
        <v>0</v>
      </c>
    </row>
    <row r="64" spans="1:23" ht="13" customHeight="1" x14ac:dyDescent="0.3">
      <c r="A64" s="26" t="s">
        <v>97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</row>
    <row r="65" spans="1:23" ht="12.5" customHeight="1" x14ac:dyDescent="0.25">
      <c r="A65" s="24" t="s">
        <v>98</v>
      </c>
      <c r="B65" s="24" t="s">
        <v>99</v>
      </c>
      <c r="C65" s="24" t="s">
        <v>100</v>
      </c>
      <c r="D65" s="30">
        <v>0.95</v>
      </c>
    </row>
    <row r="66" spans="1:23" ht="12.5" customHeight="1" x14ac:dyDescent="0.25">
      <c r="A66" s="24" t="s">
        <v>101</v>
      </c>
      <c r="B66" s="24" t="s">
        <v>92</v>
      </c>
      <c r="C66" s="24" t="s">
        <v>102</v>
      </c>
      <c r="D66" s="32">
        <v>3.5</v>
      </c>
    </row>
    <row r="67" spans="1:23" ht="12.5" customHeight="1" x14ac:dyDescent="0.25">
      <c r="A67" s="24" t="s">
        <v>103</v>
      </c>
      <c r="B67" s="24" t="s">
        <v>104</v>
      </c>
      <c r="C67" t="s">
        <v>23</v>
      </c>
      <c r="D67" s="123">
        <f>'Сценарный анализ'!$D$22</f>
        <v>0.09</v>
      </c>
    </row>
    <row r="69" spans="1:23" ht="13" customHeight="1" x14ac:dyDescent="0.3">
      <c r="A69" s="26" t="s">
        <v>105</v>
      </c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</row>
    <row r="70" spans="1:23" ht="12.5" customHeight="1" x14ac:dyDescent="0.25">
      <c r="A70" s="24" t="s">
        <v>106</v>
      </c>
      <c r="B70" s="24" t="s">
        <v>15</v>
      </c>
      <c r="G70" s="30">
        <v>0.2</v>
      </c>
      <c r="H70" s="31">
        <f t="shared" ref="H70:W70" si="36">G70</f>
        <v>0.2</v>
      </c>
      <c r="I70" s="31">
        <f t="shared" si="36"/>
        <v>0.2</v>
      </c>
      <c r="J70" s="31">
        <f t="shared" si="36"/>
        <v>0.2</v>
      </c>
      <c r="K70" s="31">
        <f t="shared" si="36"/>
        <v>0.2</v>
      </c>
      <c r="L70" s="31">
        <f t="shared" si="36"/>
        <v>0.2</v>
      </c>
      <c r="M70" s="31">
        <f t="shared" si="36"/>
        <v>0.2</v>
      </c>
      <c r="N70" s="31">
        <f t="shared" si="36"/>
        <v>0.2</v>
      </c>
      <c r="O70" s="31">
        <f t="shared" si="36"/>
        <v>0.2</v>
      </c>
      <c r="P70" s="31">
        <f t="shared" si="36"/>
        <v>0.2</v>
      </c>
      <c r="Q70" s="31">
        <f t="shared" si="36"/>
        <v>0.2</v>
      </c>
      <c r="R70" s="31">
        <f t="shared" si="36"/>
        <v>0.2</v>
      </c>
      <c r="S70" s="31">
        <f t="shared" si="36"/>
        <v>0.2</v>
      </c>
      <c r="T70" s="31">
        <f t="shared" si="36"/>
        <v>0.2</v>
      </c>
      <c r="U70" s="31">
        <f t="shared" si="36"/>
        <v>0.2</v>
      </c>
      <c r="V70" s="31">
        <f t="shared" si="36"/>
        <v>0.2</v>
      </c>
      <c r="W70" s="31">
        <f t="shared" si="36"/>
        <v>0.2</v>
      </c>
    </row>
    <row r="71" spans="1:23" ht="12.5" customHeight="1" x14ac:dyDescent="0.25">
      <c r="A71" s="24" t="s">
        <v>107</v>
      </c>
      <c r="B71" s="24" t="s">
        <v>15</v>
      </c>
      <c r="G71" s="30">
        <v>0.2</v>
      </c>
      <c r="H71" s="31">
        <f t="shared" ref="H71:W71" si="37">G71</f>
        <v>0.2</v>
      </c>
      <c r="I71" s="31">
        <f t="shared" si="37"/>
        <v>0.2</v>
      </c>
      <c r="J71" s="31">
        <f t="shared" si="37"/>
        <v>0.2</v>
      </c>
      <c r="K71" s="31">
        <f t="shared" si="37"/>
        <v>0.2</v>
      </c>
      <c r="L71" s="31">
        <f t="shared" si="37"/>
        <v>0.2</v>
      </c>
      <c r="M71" s="31">
        <f t="shared" si="37"/>
        <v>0.2</v>
      </c>
      <c r="N71" s="31">
        <f t="shared" si="37"/>
        <v>0.2</v>
      </c>
      <c r="O71" s="31">
        <f t="shared" si="37"/>
        <v>0.2</v>
      </c>
      <c r="P71" s="31">
        <f t="shared" si="37"/>
        <v>0.2</v>
      </c>
      <c r="Q71" s="31">
        <f t="shared" si="37"/>
        <v>0.2</v>
      </c>
      <c r="R71" s="31">
        <f t="shared" si="37"/>
        <v>0.2</v>
      </c>
      <c r="S71" s="31">
        <f t="shared" si="37"/>
        <v>0.2</v>
      </c>
      <c r="T71" s="31">
        <f t="shared" si="37"/>
        <v>0.2</v>
      </c>
      <c r="U71" s="31">
        <f t="shared" si="37"/>
        <v>0.2</v>
      </c>
      <c r="V71" s="31">
        <f t="shared" si="37"/>
        <v>0.2</v>
      </c>
      <c r="W71" s="31">
        <f t="shared" si="37"/>
        <v>0.2</v>
      </c>
    </row>
    <row r="73" spans="1:23" ht="13" customHeight="1" x14ac:dyDescent="0.3">
      <c r="A73" s="26" t="s">
        <v>108</v>
      </c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</row>
    <row r="74" spans="1:23" ht="12.5" customHeight="1" x14ac:dyDescent="0.25">
      <c r="A74" s="24" t="s">
        <v>109</v>
      </c>
      <c r="B74" s="24" t="s">
        <v>89</v>
      </c>
      <c r="G74" s="27">
        <v>0</v>
      </c>
    </row>
    <row r="75" spans="1:23" ht="12.5" customHeight="1" x14ac:dyDescent="0.25">
      <c r="A75" s="24" t="s">
        <v>110</v>
      </c>
      <c r="B75" s="24" t="s">
        <v>89</v>
      </c>
      <c r="G75" s="27">
        <v>0</v>
      </c>
    </row>
    <row r="76" spans="1:23" ht="12.5" customHeight="1" x14ac:dyDescent="0.25">
      <c r="A76" s="24" t="s">
        <v>111</v>
      </c>
      <c r="B76" s="24" t="s">
        <v>89</v>
      </c>
      <c r="G76" s="27">
        <v>150</v>
      </c>
    </row>
    <row r="77" spans="1:23" ht="12.5" customHeight="1" x14ac:dyDescent="0.25">
      <c r="A77" s="24" t="s">
        <v>112</v>
      </c>
      <c r="B77" s="24" t="s">
        <v>89</v>
      </c>
      <c r="G77" s="27">
        <v>0</v>
      </c>
    </row>
    <row r="78" spans="1:23" ht="12.5" customHeight="1" x14ac:dyDescent="0.25">
      <c r="A78" s="24" t="s">
        <v>113</v>
      </c>
      <c r="B78" s="24" t="s">
        <v>89</v>
      </c>
      <c r="G78" s="27">
        <v>1850</v>
      </c>
    </row>
    <row r="79" spans="1:23" ht="13" customHeight="1" x14ac:dyDescent="0.3">
      <c r="A79" s="33" t="s">
        <v>114</v>
      </c>
      <c r="B79" s="24" t="s">
        <v>89</v>
      </c>
      <c r="G79" s="28">
        <f>SUM(G74:G78)</f>
        <v>2000</v>
      </c>
    </row>
    <row r="80" spans="1:23" ht="12.5" customHeight="1" x14ac:dyDescent="0.25">
      <c r="A80" s="24" t="s">
        <v>115</v>
      </c>
      <c r="B80" s="24" t="s">
        <v>89</v>
      </c>
      <c r="G80" s="27">
        <v>2000</v>
      </c>
    </row>
    <row r="81" spans="1:7" ht="12.5" customHeight="1" x14ac:dyDescent="0.25">
      <c r="A81" s="24" t="s">
        <v>116</v>
      </c>
      <c r="B81" s="24" t="s">
        <v>89</v>
      </c>
      <c r="G81" s="27">
        <v>0</v>
      </c>
    </row>
    <row r="82" spans="1:7" ht="12.5" customHeight="1" x14ac:dyDescent="0.25">
      <c r="A82" s="24" t="s">
        <v>97</v>
      </c>
      <c r="B82" s="24" t="s">
        <v>89</v>
      </c>
      <c r="G82" s="27">
        <v>0</v>
      </c>
    </row>
    <row r="83" spans="1:7" ht="12.5" customHeight="1" x14ac:dyDescent="0.25">
      <c r="A83" s="24" t="s">
        <v>117</v>
      </c>
      <c r="B83" s="24" t="s">
        <v>89</v>
      </c>
      <c r="G83" s="27">
        <v>0</v>
      </c>
    </row>
    <row r="84" spans="1:7" ht="13" customHeight="1" x14ac:dyDescent="0.3">
      <c r="A84" s="33" t="s">
        <v>118</v>
      </c>
      <c r="B84" s="24" t="s">
        <v>89</v>
      </c>
      <c r="G84" s="28">
        <f>SUM(G80:G83)</f>
        <v>2000</v>
      </c>
    </row>
    <row r="85" spans="1:7" ht="12.5" customHeight="1" x14ac:dyDescent="0.25">
      <c r="A85" s="24" t="s">
        <v>119</v>
      </c>
      <c r="B85" s="24" t="s">
        <v>89</v>
      </c>
      <c r="G85" s="28">
        <f>G79-G84</f>
        <v>0</v>
      </c>
    </row>
  </sheetData>
  <mergeCells count="8">
    <mergeCell ref="A1:A2"/>
    <mergeCell ref="C1:C2"/>
    <mergeCell ref="B1:B2"/>
    <mergeCell ref="D1:D2"/>
    <mergeCell ref="T1:W1"/>
    <mergeCell ref="H1:K1"/>
    <mergeCell ref="L1:O1"/>
    <mergeCell ref="P1:S1"/>
  </mergeCells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69"/>
  <sheetViews>
    <sheetView workbookViewId="0"/>
  </sheetViews>
  <sheetFormatPr defaultColWidth="12.6328125" defaultRowHeight="15.75" customHeight="1" x14ac:dyDescent="0.25"/>
  <cols>
    <col min="1" max="1" width="44.26953125" style="8" customWidth="1"/>
    <col min="2" max="2" width="12.6328125" style="60" customWidth="1"/>
    <col min="3" max="3" width="41.1796875" style="8" bestFit="1" customWidth="1"/>
    <col min="5" max="6" width="3.6328125" style="8" customWidth="1"/>
  </cols>
  <sheetData>
    <row r="1" spans="1:23" ht="15.75" customHeight="1" x14ac:dyDescent="0.35">
      <c r="A1" s="157" t="s">
        <v>0</v>
      </c>
      <c r="B1" s="157" t="s">
        <v>1</v>
      </c>
      <c r="C1" s="157" t="s">
        <v>2</v>
      </c>
      <c r="D1" s="4"/>
      <c r="E1" s="1"/>
      <c r="F1" s="1"/>
      <c r="G1" s="120" t="s">
        <v>4</v>
      </c>
      <c r="H1" s="159" t="s">
        <v>5</v>
      </c>
      <c r="I1" s="160"/>
      <c r="J1" s="160"/>
      <c r="K1" s="161"/>
      <c r="L1" s="159" t="s">
        <v>6</v>
      </c>
      <c r="M1" s="160"/>
      <c r="N1" s="160"/>
      <c r="O1" s="161"/>
      <c r="P1" s="159" t="s">
        <v>7</v>
      </c>
      <c r="Q1" s="160"/>
      <c r="R1" s="160"/>
      <c r="S1" s="161"/>
      <c r="T1" s="159" t="s">
        <v>8</v>
      </c>
      <c r="U1" s="160"/>
      <c r="V1" s="160"/>
      <c r="W1" s="161"/>
    </row>
    <row r="2" spans="1:23" ht="15.75" customHeight="1" x14ac:dyDescent="0.35">
      <c r="A2" s="158"/>
      <c r="B2" s="158"/>
      <c r="C2" s="158"/>
      <c r="D2" s="4"/>
      <c r="E2" s="1"/>
      <c r="F2" s="1"/>
      <c r="G2" s="119" t="s">
        <v>9</v>
      </c>
      <c r="H2" s="119" t="s">
        <v>10</v>
      </c>
      <c r="I2" s="119" t="s">
        <v>11</v>
      </c>
      <c r="J2" s="119" t="s">
        <v>12</v>
      </c>
      <c r="K2" s="119" t="s">
        <v>9</v>
      </c>
      <c r="L2" s="119" t="s">
        <v>10</v>
      </c>
      <c r="M2" s="119" t="s">
        <v>11</v>
      </c>
      <c r="N2" s="119" t="s">
        <v>12</v>
      </c>
      <c r="O2" s="119" t="s">
        <v>9</v>
      </c>
      <c r="P2" s="119" t="s">
        <v>10</v>
      </c>
      <c r="Q2" s="119" t="s">
        <v>11</v>
      </c>
      <c r="R2" s="119" t="s">
        <v>12</v>
      </c>
      <c r="S2" s="119" t="s">
        <v>9</v>
      </c>
      <c r="T2" s="119" t="s">
        <v>10</v>
      </c>
      <c r="U2" s="119" t="s">
        <v>11</v>
      </c>
      <c r="V2" s="119" t="s">
        <v>12</v>
      </c>
      <c r="W2" s="119" t="s">
        <v>9</v>
      </c>
    </row>
    <row r="3" spans="1:23" ht="15.75" customHeight="1" x14ac:dyDescent="0.35">
      <c r="A3" s="1"/>
      <c r="B3" s="58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s="35" customFormat="1" ht="15.75" customHeight="1" x14ac:dyDescent="0.3">
      <c r="A4" s="34" t="s">
        <v>120</v>
      </c>
      <c r="B4" s="37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</row>
    <row r="5" spans="1:23" ht="15.75" customHeight="1" x14ac:dyDescent="0.35">
      <c r="A5" s="42" t="s">
        <v>121</v>
      </c>
      <c r="B5" s="43" t="s">
        <v>89</v>
      </c>
      <c r="C5" s="44"/>
      <c r="D5" s="40"/>
      <c r="E5" s="40"/>
      <c r="F5" s="40"/>
      <c r="G5" s="49">
        <f>Допущения!G14*Допущения!G18/1000</f>
        <v>0</v>
      </c>
      <c r="H5" s="49">
        <f>Допущения!H14*Допущения!H18/1000</f>
        <v>0</v>
      </c>
      <c r="I5" s="49">
        <f>Допущения!I14*Допущения!I18/1000</f>
        <v>2070.6125000000002</v>
      </c>
      <c r="J5" s="49">
        <f>Допущения!J14*Допущения!J18/1000</f>
        <v>4213.6964375000007</v>
      </c>
      <c r="K5" s="49">
        <f>Допущения!K14*Допущения!K18/1000</f>
        <v>6431.154187734377</v>
      </c>
      <c r="L5" s="49">
        <f>Допущения!L14*Допущения!L18/1000</f>
        <v>8703.4953340671891</v>
      </c>
      <c r="M5" s="49">
        <f>Допущения!M14*Допущения!M18/1000</f>
        <v>11042.559705097745</v>
      </c>
      <c r="N5" s="49">
        <f>Допущения!N14*Допущения!N18/1000</f>
        <v>13449.837720809051</v>
      </c>
      <c r="O5" s="49">
        <f>Допущения!O14*Допущения!O18/1000</f>
        <v>13651.585286621188</v>
      </c>
      <c r="P5" s="49">
        <f>Допущения!P14*Допущения!P18/1000</f>
        <v>13822.230102703954</v>
      </c>
      <c r="Q5" s="49">
        <f>Допущения!Q14*Допущения!Q18/1000</f>
        <v>13995.007978987751</v>
      </c>
      <c r="R5" s="49">
        <f>Допущения!R14*Допущения!R18/1000</f>
        <v>14169.945578725097</v>
      </c>
      <c r="S5" s="49">
        <f>Допущения!S14*Допущения!S18/1000</f>
        <v>14347.06989845916</v>
      </c>
      <c r="T5" s="49">
        <f>Допущения!T14*Допущения!T18/1000</f>
        <v>14526.408272189899</v>
      </c>
      <c r="U5" s="49">
        <f>Допущения!U14*Допущения!U18/1000</f>
        <v>14707.988375592275</v>
      </c>
      <c r="V5" s="49">
        <f>Допущения!V14*Допущения!V18/1000</f>
        <v>14891.838230287178</v>
      </c>
      <c r="W5" s="49">
        <f>Допущения!W14*Допущения!W18/1000</f>
        <v>15077.986208165765</v>
      </c>
    </row>
    <row r="6" spans="1:23" ht="15.75" customHeight="1" x14ac:dyDescent="0.35">
      <c r="A6" s="42" t="s">
        <v>122</v>
      </c>
      <c r="B6" s="43" t="s">
        <v>89</v>
      </c>
      <c r="C6" s="44"/>
      <c r="D6" s="40"/>
      <c r="E6" s="40"/>
      <c r="F6" s="40"/>
      <c r="G6" s="49">
        <f>Допущения!G15*Допущения!G19/1000</f>
        <v>0</v>
      </c>
      <c r="H6" s="49">
        <f>Допущения!H15*Допущения!H19/1000</f>
        <v>0</v>
      </c>
      <c r="I6" s="49">
        <f>Допущения!I15*Допущения!I19/1000</f>
        <v>621.18375000000003</v>
      </c>
      <c r="J6" s="49">
        <f>Допущения!J15*Допущения!J19/1000</f>
        <v>1264.1089312500001</v>
      </c>
      <c r="K6" s="49">
        <f>Допущения!K15*Допущения!K19/1000</f>
        <v>1929.3462563203129</v>
      </c>
      <c r="L6" s="49">
        <f>Допущения!L15*Допущения!L19/1000</f>
        <v>2611.0486002201565</v>
      </c>
      <c r="M6" s="49">
        <f>Допущения!M15*Допущения!M19/1000</f>
        <v>3312.7679115293231</v>
      </c>
      <c r="N6" s="49">
        <f>Допущения!N15*Допущения!N19/1000</f>
        <v>4034.9513162427147</v>
      </c>
      <c r="O6" s="49">
        <f>Допущения!O15*Допущения!O19/1000</f>
        <v>4778.054850317415</v>
      </c>
      <c r="P6" s="49">
        <f>Допущения!P15*Допущения!P19/1000</f>
        <v>5528.892041081579</v>
      </c>
      <c r="Q6" s="49">
        <f>Допущения!Q15*Допущения!Q19/1000</f>
        <v>5598.0031915950985</v>
      </c>
      <c r="R6" s="49">
        <f>Допущения!R15*Допущения!R19/1000</f>
        <v>5667.9782314900376</v>
      </c>
      <c r="S6" s="49">
        <f>Допущения!S15*Допущения!S19/1000</f>
        <v>5738.8279593836623</v>
      </c>
      <c r="T6" s="49">
        <f>Допущения!T15*Допущения!T19/1000</f>
        <v>5810.5633088759587</v>
      </c>
      <c r="U6" s="49">
        <f>Допущения!U15*Допущения!U19/1000</f>
        <v>5883.1953502369079</v>
      </c>
      <c r="V6" s="49">
        <f>Допущения!V15*Допущения!V19/1000</f>
        <v>5956.7352921148686</v>
      </c>
      <c r="W6" s="49">
        <f>Допущения!W15*Допущения!W19/1000</f>
        <v>6031.1944832663039</v>
      </c>
    </row>
    <row r="7" spans="1:23" ht="15.75" customHeight="1" x14ac:dyDescent="0.35">
      <c r="A7" s="46" t="s">
        <v>123</v>
      </c>
      <c r="B7" s="43" t="s">
        <v>89</v>
      </c>
      <c r="C7" s="44"/>
      <c r="D7" s="40"/>
      <c r="E7" s="40"/>
      <c r="F7" s="40"/>
      <c r="G7" s="49">
        <f t="shared" ref="G7:W7" si="0">SUM(G5:G6)</f>
        <v>0</v>
      </c>
      <c r="H7" s="49">
        <f t="shared" si="0"/>
        <v>0</v>
      </c>
      <c r="I7" s="49">
        <f t="shared" si="0"/>
        <v>2691.7962500000003</v>
      </c>
      <c r="J7" s="49">
        <f t="shared" si="0"/>
        <v>5477.8053687500005</v>
      </c>
      <c r="K7" s="49">
        <f t="shared" si="0"/>
        <v>8360.5004440546909</v>
      </c>
      <c r="L7" s="49">
        <f t="shared" si="0"/>
        <v>11314.543934287345</v>
      </c>
      <c r="M7" s="49">
        <f t="shared" si="0"/>
        <v>14355.327616627068</v>
      </c>
      <c r="N7" s="49">
        <f t="shared" si="0"/>
        <v>17484.789037051767</v>
      </c>
      <c r="O7" s="49">
        <f t="shared" si="0"/>
        <v>18429.640136938604</v>
      </c>
      <c r="P7" s="49">
        <f t="shared" si="0"/>
        <v>19351.122143785535</v>
      </c>
      <c r="Q7" s="49">
        <f t="shared" si="0"/>
        <v>19593.011170582849</v>
      </c>
      <c r="R7" s="49">
        <f t="shared" si="0"/>
        <v>19837.923810215136</v>
      </c>
      <c r="S7" s="49">
        <f t="shared" si="0"/>
        <v>20085.897857842821</v>
      </c>
      <c r="T7" s="49">
        <f t="shared" si="0"/>
        <v>20336.97158106586</v>
      </c>
      <c r="U7" s="49">
        <f t="shared" si="0"/>
        <v>20591.183725829182</v>
      </c>
      <c r="V7" s="49">
        <f t="shared" si="0"/>
        <v>20848.573522402046</v>
      </c>
      <c r="W7" s="49">
        <f t="shared" si="0"/>
        <v>21109.18069143207</v>
      </c>
    </row>
    <row r="8" spans="1:23" ht="15.75" customHeight="1" x14ac:dyDescent="0.35">
      <c r="A8" s="50"/>
      <c r="B8" s="51"/>
      <c r="C8" s="52"/>
      <c r="D8" s="53"/>
      <c r="E8" s="1"/>
      <c r="F8" s="1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</row>
    <row r="9" spans="1:23" s="35" customFormat="1" ht="15.75" customHeight="1" x14ac:dyDescent="0.3">
      <c r="A9" s="36" t="s">
        <v>124</v>
      </c>
      <c r="B9" s="37"/>
      <c r="C9" s="36"/>
      <c r="D9" s="34"/>
      <c r="E9" s="38"/>
      <c r="F9" s="38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</row>
    <row r="10" spans="1:23" ht="15.75" customHeight="1" x14ac:dyDescent="0.35">
      <c r="A10" s="39" t="s">
        <v>125</v>
      </c>
      <c r="B10" s="43" t="s">
        <v>35</v>
      </c>
      <c r="C10" s="40"/>
      <c r="D10" s="40"/>
      <c r="E10" s="40"/>
      <c r="F10" s="40"/>
      <c r="G10" s="41">
        <f>Допущения!G22*Допущения!G34</f>
        <v>1575</v>
      </c>
      <c r="H10" s="41">
        <f>Допущения!H22*Допущения!H34</f>
        <v>1592.7679687500001</v>
      </c>
      <c r="I10" s="41">
        <f>Допущения!I22*Допущения!I34</f>
        <v>1610.7363823974611</v>
      </c>
      <c r="J10" s="41">
        <f>Допущения!J22*Допущения!J34</f>
        <v>1628.9075022113823</v>
      </c>
      <c r="K10" s="41">
        <f>Допущения!K22*Допущения!K34</f>
        <v>1647.2836149707045</v>
      </c>
      <c r="L10" s="41">
        <f>Допущения!L22*Допущения!L34</f>
        <v>1665.8670332520926</v>
      </c>
      <c r="M10" s="41">
        <f>Допущения!M22*Допущения!M34</f>
        <v>1684.6600957209675</v>
      </c>
      <c r="N10" s="41">
        <f>Допущения!N22*Допущения!N34</f>
        <v>1703.6651674258198</v>
      </c>
      <c r="O10" s="41">
        <f>Допущения!O22*Допущения!O34</f>
        <v>1722.8846400958425</v>
      </c>
      <c r="P10" s="41">
        <f>Допущения!P22*Допущения!P34</f>
        <v>1742.3209324419236</v>
      </c>
      <c r="Q10" s="41">
        <f>Допущения!Q22*Допущения!Q34</f>
        <v>1761.976490461034</v>
      </c>
      <c r="R10" s="41">
        <f>Допущения!R22*Допущения!R34</f>
        <v>1781.8537877440476</v>
      </c>
      <c r="S10" s="41">
        <f>Допущения!S22*Допущения!S34</f>
        <v>1801.955325787035</v>
      </c>
      <c r="T10" s="41">
        <f>Допущения!T22*Допущения!T34</f>
        <v>1822.2836343060701</v>
      </c>
      <c r="U10" s="41">
        <f>Допущения!U22*Допущения!U34</f>
        <v>1842.8412715555853</v>
      </c>
      <c r="V10" s="41">
        <f>Допущения!V22*Допущения!V34</f>
        <v>1863.6308246503218</v>
      </c>
      <c r="W10" s="41">
        <f>Допущения!W22*Допущения!W34</f>
        <v>1884.6549098909084</v>
      </c>
    </row>
    <row r="11" spans="1:23" ht="15.75" customHeight="1" x14ac:dyDescent="0.35">
      <c r="A11" s="39" t="s">
        <v>126</v>
      </c>
      <c r="B11" s="43" t="s">
        <v>35</v>
      </c>
      <c r="C11" s="40"/>
      <c r="D11" s="40"/>
      <c r="E11" s="40"/>
      <c r="F11" s="40"/>
      <c r="G11" s="41">
        <f>Допущения!G24*Допущения!G36</f>
        <v>300</v>
      </c>
      <c r="H11" s="41">
        <f>Допущения!H24*Допущения!H36</f>
        <v>305.25</v>
      </c>
      <c r="I11" s="41">
        <f>Допущения!I24*Допущения!I36</f>
        <v>310.59187500000002</v>
      </c>
      <c r="J11" s="41">
        <f>Допущения!J24*Допущения!J36</f>
        <v>316.02723281250007</v>
      </c>
      <c r="K11" s="41">
        <f>Допущения!K24*Допущения!K36</f>
        <v>321.55770938671884</v>
      </c>
      <c r="L11" s="41">
        <f>Допущения!L24*Допущения!L36</f>
        <v>326.38107502751961</v>
      </c>
      <c r="M11" s="41">
        <f>Допущения!M24*Допущения!M36</f>
        <v>331.27679115293233</v>
      </c>
      <c r="N11" s="41">
        <f>Допущения!N24*Допущения!N36</f>
        <v>336.24594302022632</v>
      </c>
      <c r="O11" s="41">
        <f>Допущения!O24*Допущения!O36</f>
        <v>341.28963216552967</v>
      </c>
      <c r="P11" s="41">
        <f>Допущения!P24*Допущения!P36</f>
        <v>345.55575256759874</v>
      </c>
      <c r="Q11" s="41">
        <f>Допущения!Q24*Допущения!Q36</f>
        <v>349.87519947469372</v>
      </c>
      <c r="R11" s="41">
        <f>Допущения!R24*Допущения!R36</f>
        <v>354.24863946812735</v>
      </c>
      <c r="S11" s="41">
        <f>Допущения!S24*Допущения!S36</f>
        <v>358.67674746147895</v>
      </c>
      <c r="T11" s="41">
        <f>Допущения!T24*Допущения!T36</f>
        <v>363.16020680474736</v>
      </c>
      <c r="U11" s="41">
        <f>Допущения!U24*Допущения!U36</f>
        <v>367.69970938980674</v>
      </c>
      <c r="V11" s="41">
        <f>Допущения!V24*Допущения!V36</f>
        <v>372.29595575717929</v>
      </c>
      <c r="W11" s="41">
        <f>Допущения!W24*Допущения!W36</f>
        <v>376.94965520414399</v>
      </c>
    </row>
    <row r="12" spans="1:23" ht="15.75" customHeight="1" x14ac:dyDescent="0.35">
      <c r="A12" s="42" t="s">
        <v>127</v>
      </c>
      <c r="B12" s="43" t="s">
        <v>35</v>
      </c>
      <c r="C12" s="44"/>
      <c r="D12" s="40"/>
      <c r="E12" s="40"/>
      <c r="F12" s="40"/>
      <c r="G12" s="41">
        <f>Допущения!G26*Допущения!G41</f>
        <v>416.66666666666669</v>
      </c>
      <c r="H12" s="41">
        <f>Допущения!H26*Допущения!H41</f>
        <v>425</v>
      </c>
      <c r="I12" s="41">
        <f>Допущения!I26*Допущения!I41</f>
        <v>433.5</v>
      </c>
      <c r="J12" s="41">
        <f>Допущения!J26*Допущения!J41</f>
        <v>442.17</v>
      </c>
      <c r="K12" s="41">
        <f>Допущения!K26*Допущения!K41</f>
        <v>451.01340000000005</v>
      </c>
      <c r="L12" s="41">
        <f>Допущения!L26*Допущения!L41</f>
        <v>460.03366800000003</v>
      </c>
      <c r="M12" s="41">
        <f>Допущения!M26*Допущения!M41</f>
        <v>469.23434136000003</v>
      </c>
      <c r="N12" s="41">
        <f>Допущения!N26*Допущения!N41</f>
        <v>478.61902818720006</v>
      </c>
      <c r="O12" s="41">
        <f>Допущения!O26*Допущения!O41</f>
        <v>488.19140875094405</v>
      </c>
      <c r="P12" s="41">
        <f>Допущения!P26*Допущения!P41</f>
        <v>497.95523692596294</v>
      </c>
      <c r="Q12" s="41">
        <f>Допущения!Q26*Допущения!Q41</f>
        <v>507.91434166448221</v>
      </c>
      <c r="R12" s="41">
        <f>Допущения!R26*Допущения!R41</f>
        <v>518.0726284977718</v>
      </c>
      <c r="S12" s="41">
        <f>Допущения!S26*Допущения!S41</f>
        <v>528.43408106772722</v>
      </c>
      <c r="T12" s="41">
        <f>Допущения!T26*Допущения!T41</f>
        <v>539.00276268908181</v>
      </c>
      <c r="U12" s="41">
        <f>Допущения!U26*Допущения!U41</f>
        <v>549.78281794286352</v>
      </c>
      <c r="V12" s="41">
        <f>Допущения!V26*Допущения!V41</f>
        <v>560.77847430172085</v>
      </c>
      <c r="W12" s="41">
        <f>Допущения!W26*Допущения!W41</f>
        <v>571.99404378775523</v>
      </c>
    </row>
    <row r="13" spans="1:23" ht="15.75" customHeight="1" x14ac:dyDescent="0.35">
      <c r="A13" s="42" t="s">
        <v>128</v>
      </c>
      <c r="B13" s="43" t="s">
        <v>35</v>
      </c>
      <c r="C13" s="44"/>
      <c r="D13" s="40"/>
      <c r="E13" s="40"/>
      <c r="F13" s="40"/>
      <c r="G13" s="41">
        <f>Допущения!G28*Допущения!G42</f>
        <v>41.666666666666671</v>
      </c>
      <c r="H13" s="41">
        <f>Допущения!H28*Допущения!H42</f>
        <v>42.5</v>
      </c>
      <c r="I13" s="41">
        <f>Допущения!I28*Допущения!I42</f>
        <v>43.35</v>
      </c>
      <c r="J13" s="41">
        <f>Допущения!J28*Допущения!J42</f>
        <v>44.217000000000006</v>
      </c>
      <c r="K13" s="41">
        <f>Допущения!K28*Допущения!K42</f>
        <v>45.101340000000008</v>
      </c>
      <c r="L13" s="41">
        <f>Допущения!L28*Допущения!L42</f>
        <v>46.003366800000009</v>
      </c>
      <c r="M13" s="41">
        <f>Допущения!M28*Допущения!M42</f>
        <v>46.923434136000004</v>
      </c>
      <c r="N13" s="41">
        <f>Допущения!N28*Допущения!N42</f>
        <v>47.861902818720012</v>
      </c>
      <c r="O13" s="41">
        <f>Допущения!O28*Допущения!O42</f>
        <v>48.819140875094405</v>
      </c>
      <c r="P13" s="41">
        <f>Допущения!P28*Допущения!P42</f>
        <v>49.795523692596298</v>
      </c>
      <c r="Q13" s="41">
        <f>Допущения!Q28*Допущения!Q42</f>
        <v>50.791434166448227</v>
      </c>
      <c r="R13" s="41">
        <f>Допущения!R28*Допущения!R42</f>
        <v>51.807262849777182</v>
      </c>
      <c r="S13" s="41">
        <f>Допущения!S28*Допущения!S42</f>
        <v>52.843408106772728</v>
      </c>
      <c r="T13" s="41">
        <f>Допущения!T28*Допущения!T42</f>
        <v>53.900276268908186</v>
      </c>
      <c r="U13" s="41">
        <f>Допущения!U28*Допущения!U42</f>
        <v>54.978281794286353</v>
      </c>
      <c r="V13" s="41">
        <f>Допущения!V28*Допущения!V42</f>
        <v>56.077847430172085</v>
      </c>
      <c r="W13" s="41">
        <f>Допущения!W28*Допущения!W42</f>
        <v>57.199404378775526</v>
      </c>
    </row>
    <row r="14" spans="1:23" ht="15.75" customHeight="1" x14ac:dyDescent="0.35">
      <c r="A14" s="42" t="s">
        <v>129</v>
      </c>
      <c r="B14" s="43" t="s">
        <v>35</v>
      </c>
      <c r="C14" s="44"/>
      <c r="D14" s="40"/>
      <c r="E14" s="40"/>
      <c r="F14" s="40"/>
      <c r="G14" s="45">
        <f>Допущения!G30</f>
        <v>250</v>
      </c>
      <c r="H14" s="45">
        <f>Допущения!H30</f>
        <v>254.37500000000003</v>
      </c>
      <c r="I14" s="45">
        <f>Допущения!I30</f>
        <v>258.82656250000002</v>
      </c>
      <c r="J14" s="45">
        <f>Допущения!J30</f>
        <v>263.35602734375004</v>
      </c>
      <c r="K14" s="45">
        <f>Допущения!K30</f>
        <v>267.96475782226571</v>
      </c>
      <c r="L14" s="45">
        <f>Допущения!L30</f>
        <v>271.98422918959966</v>
      </c>
      <c r="M14" s="45">
        <f>Допущения!M30</f>
        <v>276.06399262744361</v>
      </c>
      <c r="N14" s="45">
        <f>Допущения!N30</f>
        <v>280.20495251685526</v>
      </c>
      <c r="O14" s="45">
        <f>Допущения!O30</f>
        <v>284.40802680460808</v>
      </c>
      <c r="P14" s="45">
        <f>Допущения!P30</f>
        <v>287.96312713966569</v>
      </c>
      <c r="Q14" s="45">
        <f>Допущения!Q30</f>
        <v>291.5626662289115</v>
      </c>
      <c r="R14" s="45">
        <f>Допущения!R30</f>
        <v>295.20719955677288</v>
      </c>
      <c r="S14" s="45">
        <f>Допущения!S30</f>
        <v>298.89728955123252</v>
      </c>
      <c r="T14" s="45">
        <f>Допущения!T30</f>
        <v>302.63350567062292</v>
      </c>
      <c r="U14" s="45">
        <f>Допущения!U30</f>
        <v>306.41642449150572</v>
      </c>
      <c r="V14" s="45">
        <f>Допущения!V30</f>
        <v>310.24662979764952</v>
      </c>
      <c r="W14" s="45">
        <f>Допущения!W30</f>
        <v>314.12471267012012</v>
      </c>
    </row>
    <row r="15" spans="1:23" ht="15.75" customHeight="1" x14ac:dyDescent="0.35">
      <c r="A15" s="46" t="s">
        <v>130</v>
      </c>
      <c r="B15" s="43" t="s">
        <v>35</v>
      </c>
      <c r="C15" s="44"/>
      <c r="D15" s="40"/>
      <c r="E15" s="40"/>
      <c r="F15" s="40"/>
      <c r="G15" s="41">
        <f t="shared" ref="G15:W15" si="1">SUM(G10:G14)</f>
        <v>2583.333333333333</v>
      </c>
      <c r="H15" s="41">
        <f t="shared" si="1"/>
        <v>2619.8929687500004</v>
      </c>
      <c r="I15" s="41">
        <f t="shared" si="1"/>
        <v>2657.0048198974609</v>
      </c>
      <c r="J15" s="41">
        <f t="shared" si="1"/>
        <v>2694.6777623676326</v>
      </c>
      <c r="K15" s="41">
        <f t="shared" si="1"/>
        <v>2732.9208221796894</v>
      </c>
      <c r="L15" s="41">
        <f t="shared" si="1"/>
        <v>2770.269372269212</v>
      </c>
      <c r="M15" s="41">
        <f t="shared" si="1"/>
        <v>2808.1586549973435</v>
      </c>
      <c r="N15" s="41">
        <f t="shared" si="1"/>
        <v>2846.5969939688216</v>
      </c>
      <c r="O15" s="41">
        <f t="shared" si="1"/>
        <v>2885.5928486920188</v>
      </c>
      <c r="P15" s="41">
        <f t="shared" si="1"/>
        <v>2923.5905727677473</v>
      </c>
      <c r="Q15" s="41">
        <f t="shared" si="1"/>
        <v>2962.1201319955699</v>
      </c>
      <c r="R15" s="41">
        <f t="shared" si="1"/>
        <v>3001.1895181164969</v>
      </c>
      <c r="S15" s="41">
        <f t="shared" si="1"/>
        <v>3040.806851974246</v>
      </c>
      <c r="T15" s="41">
        <f t="shared" si="1"/>
        <v>3080.9803857394309</v>
      </c>
      <c r="U15" s="41">
        <f t="shared" si="1"/>
        <v>3121.718505174048</v>
      </c>
      <c r="V15" s="41">
        <f t="shared" si="1"/>
        <v>3163.0297319370434</v>
      </c>
      <c r="W15" s="41">
        <f t="shared" si="1"/>
        <v>3204.9227259317031</v>
      </c>
    </row>
    <row r="16" spans="1:23" ht="15.75" customHeight="1" x14ac:dyDescent="0.35">
      <c r="A16" s="39" t="s">
        <v>131</v>
      </c>
      <c r="B16" s="43" t="s">
        <v>35</v>
      </c>
      <c r="C16" s="40"/>
      <c r="D16" s="40"/>
      <c r="E16" s="40"/>
      <c r="F16" s="40"/>
      <c r="G16" s="41">
        <f>Допущения!G23*Допущения!G35</f>
        <v>2800.0000000000005</v>
      </c>
      <c r="H16" s="41">
        <f>Допущения!H23*Допущения!H35</f>
        <v>2831.5874999999996</v>
      </c>
      <c r="I16" s="41">
        <f>Допущения!I23*Допущения!I35</f>
        <v>2863.5313464843744</v>
      </c>
      <c r="J16" s="41">
        <f>Допущения!J23*Допущения!J35</f>
        <v>2895.8355594869013</v>
      </c>
      <c r="K16" s="41">
        <f>Допущения!K23*Допущения!K35</f>
        <v>2928.5042043923627</v>
      </c>
      <c r="L16" s="41">
        <f>Допущения!L23*Допущения!L35</f>
        <v>2961.5413924481641</v>
      </c>
      <c r="M16" s="41">
        <f>Допущения!M23*Допущения!M35</f>
        <v>2994.9512812817202</v>
      </c>
      <c r="N16" s="41">
        <f>Допущения!N23*Допущения!N35</f>
        <v>3028.7380754236792</v>
      </c>
      <c r="O16" s="41">
        <f>Допущения!O23*Допущения!O35</f>
        <v>3062.9060268370522</v>
      </c>
      <c r="P16" s="41">
        <f>Допущения!P23*Допущения!P35</f>
        <v>3097.4594354523074</v>
      </c>
      <c r="Q16" s="41">
        <f>Допущения!Q23*Допущения!Q35</f>
        <v>3132.4026497085033</v>
      </c>
      <c r="R16" s="41">
        <f>Допущения!R23*Допущения!R35</f>
        <v>3167.7400671005271</v>
      </c>
      <c r="S16" s="41">
        <f>Допущения!S23*Допущения!S35</f>
        <v>3203.4761347325048</v>
      </c>
      <c r="T16" s="41">
        <f>Допущения!T23*Допущения!T35</f>
        <v>3239.6153498774556</v>
      </c>
      <c r="U16" s="41">
        <f>Допущения!U23*Допущения!U35</f>
        <v>3276.1622605432608</v>
      </c>
      <c r="V16" s="41">
        <f>Допущения!V23*Допущения!V35</f>
        <v>3313.1214660450146</v>
      </c>
      <c r="W16" s="41">
        <f>Допущения!W23*Допущения!W35</f>
        <v>3350.4976175838351</v>
      </c>
    </row>
    <row r="17" spans="1:23" ht="15.75" customHeight="1" x14ac:dyDescent="0.35">
      <c r="A17" s="39" t="s">
        <v>132</v>
      </c>
      <c r="B17" s="43" t="s">
        <v>35</v>
      </c>
      <c r="C17" s="40"/>
      <c r="D17" s="40"/>
      <c r="E17" s="40"/>
      <c r="F17" s="40"/>
      <c r="G17" s="41">
        <f>Допущения!G25*Допущения!G36</f>
        <v>1200</v>
      </c>
      <c r="H17" s="41">
        <f>Допущения!H25*Допущения!H36</f>
        <v>1221</v>
      </c>
      <c r="I17" s="41">
        <f>Допущения!I25*Допущения!I36</f>
        <v>1242.3675000000001</v>
      </c>
      <c r="J17" s="41">
        <f>Допущения!J25*Допущения!J36</f>
        <v>1264.1089312500003</v>
      </c>
      <c r="K17" s="41">
        <f>Допущения!K25*Допущения!K36</f>
        <v>1286.2308375468754</v>
      </c>
      <c r="L17" s="41">
        <f>Допущения!L25*Допущения!L36</f>
        <v>1305.5243001100785</v>
      </c>
      <c r="M17" s="41">
        <f>Допущения!M25*Допущения!M36</f>
        <v>1325.1071646117293</v>
      </c>
      <c r="N17" s="41">
        <f>Допущения!N25*Допущения!N36</f>
        <v>1344.9837720809053</v>
      </c>
      <c r="O17" s="41">
        <f>Допущения!O25*Допущения!O36</f>
        <v>1365.1585286621187</v>
      </c>
      <c r="P17" s="41">
        <f>Допущения!P25*Допущения!P36</f>
        <v>1382.223010270395</v>
      </c>
      <c r="Q17" s="41">
        <f>Допущения!Q25*Допущения!Q36</f>
        <v>1399.5007978987749</v>
      </c>
      <c r="R17" s="41">
        <f>Допущения!R25*Допущения!R36</f>
        <v>1416.9945578725094</v>
      </c>
      <c r="S17" s="41">
        <f>Допущения!S25*Допущения!S36</f>
        <v>1434.7069898459158</v>
      </c>
      <c r="T17" s="41">
        <f>Допущения!T25*Допущения!T36</f>
        <v>1452.6408272189894</v>
      </c>
      <c r="U17" s="41">
        <f>Допущения!U25*Допущения!U36</f>
        <v>1470.798837559227</v>
      </c>
      <c r="V17" s="41">
        <f>Допущения!V25*Допущения!V36</f>
        <v>1489.1838230287171</v>
      </c>
      <c r="W17" s="41">
        <f>Допущения!W25*Допущения!W36</f>
        <v>1507.798620816576</v>
      </c>
    </row>
    <row r="18" spans="1:23" ht="15.75" customHeight="1" x14ac:dyDescent="0.35">
      <c r="A18" s="42" t="s">
        <v>133</v>
      </c>
      <c r="B18" s="43" t="s">
        <v>35</v>
      </c>
      <c r="C18" s="44"/>
      <c r="D18" s="40"/>
      <c r="E18" s="40"/>
      <c r="F18" s="40"/>
      <c r="G18" s="41">
        <f>Допущения!G27*Допущения!G41</f>
        <v>1041.6666666666667</v>
      </c>
      <c r="H18" s="41">
        <f>Допущения!H27*Допущения!H41</f>
        <v>1062.5</v>
      </c>
      <c r="I18" s="41">
        <f>Допущения!I27*Допущения!I41</f>
        <v>1083.75</v>
      </c>
      <c r="J18" s="41">
        <f>Допущения!J27*Допущения!J41</f>
        <v>1105.425</v>
      </c>
      <c r="K18" s="41">
        <f>Допущения!K27*Допущения!K41</f>
        <v>1127.5335</v>
      </c>
      <c r="L18" s="41">
        <f>Допущения!L27*Допущения!L41</f>
        <v>1150.0841700000001</v>
      </c>
      <c r="M18" s="41">
        <f>Допущения!M27*Допущения!M41</f>
        <v>1173.0858534000001</v>
      </c>
      <c r="N18" s="41">
        <f>Допущения!N27*Допущения!N41</f>
        <v>1196.5475704680002</v>
      </c>
      <c r="O18" s="41">
        <f>Допущения!O27*Допущения!O41</f>
        <v>1220.4785218773602</v>
      </c>
      <c r="P18" s="41">
        <f>Допущения!P27*Допущения!P41</f>
        <v>1244.8880923149072</v>
      </c>
      <c r="Q18" s="41">
        <f>Допущения!Q27*Допущения!Q41</f>
        <v>1269.7858541612054</v>
      </c>
      <c r="R18" s="41">
        <f>Допущения!R27*Допущения!R41</f>
        <v>1295.1815712444295</v>
      </c>
      <c r="S18" s="41">
        <f>Допущения!S27*Допущения!S41</f>
        <v>1321.0852026693181</v>
      </c>
      <c r="T18" s="41">
        <f>Допущения!T27*Допущения!T41</f>
        <v>1347.5069067227046</v>
      </c>
      <c r="U18" s="41">
        <f>Допущения!U27*Допущения!U41</f>
        <v>1374.4570448571587</v>
      </c>
      <c r="V18" s="41">
        <f>Допущения!V27*Допущения!V41</f>
        <v>1401.9461857543022</v>
      </c>
      <c r="W18" s="41">
        <f>Допущения!W27*Допущения!W41</f>
        <v>1429.9851094693881</v>
      </c>
    </row>
    <row r="19" spans="1:23" ht="15.75" customHeight="1" x14ac:dyDescent="0.35">
      <c r="A19" s="42" t="s">
        <v>134</v>
      </c>
      <c r="B19" s="43" t="s">
        <v>35</v>
      </c>
      <c r="C19" s="44"/>
      <c r="D19" s="40"/>
      <c r="E19" s="40"/>
      <c r="F19" s="40"/>
      <c r="G19" s="41">
        <f>Допущения!G29*Допущения!G42</f>
        <v>625</v>
      </c>
      <c r="H19" s="41">
        <f>Допущения!H29*Допущения!H42</f>
        <v>637.5</v>
      </c>
      <c r="I19" s="41">
        <f>Допущения!I29*Допущения!I42</f>
        <v>650.25</v>
      </c>
      <c r="J19" s="41">
        <f>Допущения!J29*Допущения!J42</f>
        <v>663.255</v>
      </c>
      <c r="K19" s="41">
        <f>Допущения!K29*Допущения!K42</f>
        <v>676.52010000000007</v>
      </c>
      <c r="L19" s="41">
        <f>Допущения!L29*Допущения!L42</f>
        <v>690.05050200000005</v>
      </c>
      <c r="M19" s="41">
        <f>Допущения!M29*Допущения!M42</f>
        <v>703.85151203999999</v>
      </c>
      <c r="N19" s="41">
        <f>Допущения!N29*Допущения!N42</f>
        <v>717.92854228080012</v>
      </c>
      <c r="O19" s="41">
        <f>Допущения!O29*Допущения!O42</f>
        <v>732.2871131264161</v>
      </c>
      <c r="P19" s="41">
        <f>Допущения!P29*Допущения!P42</f>
        <v>746.9328553889444</v>
      </c>
      <c r="Q19" s="41">
        <f>Допущения!Q29*Допущения!Q42</f>
        <v>761.87151249672331</v>
      </c>
      <c r="R19" s="41">
        <f>Допущения!R29*Допущения!R42</f>
        <v>777.1089427466577</v>
      </c>
      <c r="S19" s="41">
        <f>Допущения!S29*Допущения!S42</f>
        <v>792.65112160159083</v>
      </c>
      <c r="T19" s="41">
        <f>Допущения!T29*Допущения!T42</f>
        <v>808.50414403362265</v>
      </c>
      <c r="U19" s="41">
        <f>Допущения!U29*Допущения!U42</f>
        <v>824.67422691429533</v>
      </c>
      <c r="V19" s="41">
        <f>Допущения!V29*Допущения!V42</f>
        <v>841.16771145258122</v>
      </c>
      <c r="W19" s="41">
        <f>Допущения!W29*Допущения!W42</f>
        <v>857.99106568163279</v>
      </c>
    </row>
    <row r="20" spans="1:23" ht="15.75" customHeight="1" x14ac:dyDescent="0.35">
      <c r="A20" s="42" t="s">
        <v>135</v>
      </c>
      <c r="B20" s="43" t="s">
        <v>35</v>
      </c>
      <c r="C20" s="44"/>
      <c r="D20" s="40"/>
      <c r="E20" s="40"/>
      <c r="F20" s="40"/>
      <c r="G20" s="45">
        <f>Допущения!G31</f>
        <v>600</v>
      </c>
      <c r="H20" s="45">
        <f>Допущения!H31</f>
        <v>610.5</v>
      </c>
      <c r="I20" s="45">
        <f>Допущения!I31</f>
        <v>621.18375000000003</v>
      </c>
      <c r="J20" s="45">
        <f>Допущения!J31</f>
        <v>632.05446562500003</v>
      </c>
      <c r="K20" s="45">
        <f>Допущения!K31</f>
        <v>643.11541877343757</v>
      </c>
      <c r="L20" s="45">
        <f>Допущения!L31</f>
        <v>652.76215005503911</v>
      </c>
      <c r="M20" s="45">
        <f>Допущения!M31</f>
        <v>662.55358230586467</v>
      </c>
      <c r="N20" s="45">
        <f>Допущения!N31</f>
        <v>672.49188604045253</v>
      </c>
      <c r="O20" s="45">
        <f>Допущения!O31</f>
        <v>682.57926433105922</v>
      </c>
      <c r="P20" s="45">
        <f>Допущения!P31</f>
        <v>691.11150513519738</v>
      </c>
      <c r="Q20" s="45">
        <f>Допущения!Q31</f>
        <v>699.75039894938732</v>
      </c>
      <c r="R20" s="45">
        <f>Допущения!R31</f>
        <v>708.49727893625459</v>
      </c>
      <c r="S20" s="45">
        <f>Допущения!S31</f>
        <v>717.35349492295779</v>
      </c>
      <c r="T20" s="45">
        <f>Допущения!T31</f>
        <v>726.32041360949472</v>
      </c>
      <c r="U20" s="45">
        <f>Допущения!U31</f>
        <v>735.39941877961337</v>
      </c>
      <c r="V20" s="45">
        <f>Допущения!V31</f>
        <v>744.59191151435846</v>
      </c>
      <c r="W20" s="45">
        <f>Допущения!W31</f>
        <v>753.89931040828787</v>
      </c>
    </row>
    <row r="21" spans="1:23" ht="15.75" customHeight="1" x14ac:dyDescent="0.35">
      <c r="A21" s="46" t="s">
        <v>136</v>
      </c>
      <c r="B21" s="43" t="s">
        <v>35</v>
      </c>
      <c r="C21" s="44"/>
      <c r="D21" s="40"/>
      <c r="E21" s="40"/>
      <c r="F21" s="40"/>
      <c r="G21" s="41">
        <f t="shared" ref="G21:W21" si="2">SUM(G16:G20)</f>
        <v>6266.666666666667</v>
      </c>
      <c r="H21" s="41">
        <f t="shared" si="2"/>
        <v>6363.0874999999996</v>
      </c>
      <c r="I21" s="41">
        <f t="shared" si="2"/>
        <v>6461.0825964843743</v>
      </c>
      <c r="J21" s="41">
        <f t="shared" si="2"/>
        <v>6560.6789563619022</v>
      </c>
      <c r="K21" s="41">
        <f t="shared" si="2"/>
        <v>6661.9040607126753</v>
      </c>
      <c r="L21" s="41">
        <f t="shared" si="2"/>
        <v>6759.9625146132821</v>
      </c>
      <c r="M21" s="41">
        <f t="shared" si="2"/>
        <v>6859.5493936393141</v>
      </c>
      <c r="N21" s="41">
        <f t="shared" si="2"/>
        <v>6960.689846293837</v>
      </c>
      <c r="O21" s="41">
        <f t="shared" si="2"/>
        <v>7063.4094548340072</v>
      </c>
      <c r="P21" s="41">
        <f t="shared" si="2"/>
        <v>7162.614898561751</v>
      </c>
      <c r="Q21" s="41">
        <f t="shared" si="2"/>
        <v>7263.3112132145934</v>
      </c>
      <c r="R21" s="41">
        <f t="shared" si="2"/>
        <v>7365.5224179003781</v>
      </c>
      <c r="S21" s="41">
        <f t="shared" si="2"/>
        <v>7469.2729437722874</v>
      </c>
      <c r="T21" s="41">
        <f t="shared" si="2"/>
        <v>7574.5876414622662</v>
      </c>
      <c r="U21" s="41">
        <f t="shared" si="2"/>
        <v>7681.491788653555</v>
      </c>
      <c r="V21" s="41">
        <f t="shared" si="2"/>
        <v>7790.0110977949735</v>
      </c>
      <c r="W21" s="41">
        <f t="shared" si="2"/>
        <v>7900.1717239597201</v>
      </c>
    </row>
    <row r="22" spans="1:23" ht="15.75" customHeight="1" x14ac:dyDescent="0.35">
      <c r="A22" s="47"/>
      <c r="B22" s="48"/>
      <c r="C22" s="44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</row>
    <row r="23" spans="1:23" ht="15.75" customHeight="1" x14ac:dyDescent="0.35">
      <c r="A23" s="39" t="s">
        <v>137</v>
      </c>
      <c r="B23" s="43" t="s">
        <v>89</v>
      </c>
      <c r="C23" s="40"/>
      <c r="D23" s="40"/>
      <c r="E23" s="40"/>
      <c r="F23" s="40"/>
      <c r="G23" s="49">
        <f>G15*Допущения!G14/1000</f>
        <v>0</v>
      </c>
      <c r="H23" s="49">
        <f>H15*Допущения!H14/1000</f>
        <v>0</v>
      </c>
      <c r="I23" s="49">
        <f>I15*Допущения!I14/1000</f>
        <v>1328.5024099487305</v>
      </c>
      <c r="J23" s="49">
        <f>J15*Допущения!J14/1000</f>
        <v>2694.6777623676326</v>
      </c>
      <c r="K23" s="49">
        <f>K15*Допущения!K14/1000</f>
        <v>4099.3812332695343</v>
      </c>
      <c r="L23" s="49">
        <f>L15*Допущения!L14/1000</f>
        <v>5540.538744538424</v>
      </c>
      <c r="M23" s="49">
        <f>M15*Допущения!M14/1000</f>
        <v>7020.3966374933589</v>
      </c>
      <c r="N23" s="49">
        <f>N15*Допущения!N14/1000</f>
        <v>8539.7909819064644</v>
      </c>
      <c r="O23" s="49">
        <f>O15*Допущения!O14/1000</f>
        <v>8656.7785460760551</v>
      </c>
      <c r="P23" s="49">
        <f>P15*Допущения!P14/1000</f>
        <v>8770.7717183032419</v>
      </c>
      <c r="Q23" s="49">
        <f>Q15*Допущения!Q14/1000</f>
        <v>8886.3603959867105</v>
      </c>
      <c r="R23" s="49">
        <f>R15*Допущения!R14/1000</f>
        <v>9003.568554349491</v>
      </c>
      <c r="S23" s="49">
        <f>S15*Допущения!S14/1000</f>
        <v>9122.4205559227375</v>
      </c>
      <c r="T23" s="49">
        <f>T15*Допущения!T14/1000</f>
        <v>9242.9411572182926</v>
      </c>
      <c r="U23" s="49">
        <f>U15*Допущения!U14/1000</f>
        <v>9365.1555155221449</v>
      </c>
      <c r="V23" s="49">
        <f>V15*Допущения!V14/1000</f>
        <v>9489.0891958111297</v>
      </c>
      <c r="W23" s="49">
        <f>W15*Допущения!W14/1000</f>
        <v>9614.7681777951093</v>
      </c>
    </row>
    <row r="24" spans="1:23" ht="15.75" customHeight="1" x14ac:dyDescent="0.35">
      <c r="A24" s="39" t="s">
        <v>138</v>
      </c>
      <c r="B24" s="43" t="s">
        <v>89</v>
      </c>
      <c r="C24" s="40"/>
      <c r="D24" s="40"/>
      <c r="E24" s="40"/>
      <c r="F24" s="40"/>
      <c r="G24" s="49">
        <f>G21*Допущения!G15/1000</f>
        <v>0</v>
      </c>
      <c r="H24" s="49">
        <f>H21*Допущения!H15/1000</f>
        <v>0</v>
      </c>
      <c r="I24" s="49">
        <f>I21*Допущения!I15/1000</f>
        <v>323.05412982421871</v>
      </c>
      <c r="J24" s="49">
        <f>J21*Допущения!J15/1000</f>
        <v>656.0678956361902</v>
      </c>
      <c r="K24" s="49">
        <f>K21*Допущения!K15/1000</f>
        <v>999.28560910690135</v>
      </c>
      <c r="L24" s="49">
        <f>L21*Допущения!L15/1000</f>
        <v>1351.9925029226565</v>
      </c>
      <c r="M24" s="49">
        <f>M21*Допущения!M15/1000</f>
        <v>1714.8873484098285</v>
      </c>
      <c r="N24" s="49">
        <f>N21*Допущения!N15/1000</f>
        <v>2088.206953888151</v>
      </c>
      <c r="O24" s="49">
        <f>O21*Допущения!O15/1000</f>
        <v>2472.1933091919027</v>
      </c>
      <c r="P24" s="49">
        <f>P21*Допущения!P15/1000</f>
        <v>2865.0459594247004</v>
      </c>
      <c r="Q24" s="49">
        <f>Q21*Допущения!Q15/1000</f>
        <v>2905.324485285837</v>
      </c>
      <c r="R24" s="49">
        <f>R21*Допущения!R15/1000</f>
        <v>2946.2089671601511</v>
      </c>
      <c r="S24" s="49">
        <f>S21*Допущения!S15/1000</f>
        <v>2987.7091775089148</v>
      </c>
      <c r="T24" s="49">
        <f>T21*Допущения!T15/1000</f>
        <v>3029.8350565849064</v>
      </c>
      <c r="U24" s="49">
        <f>U21*Допущения!U15/1000</f>
        <v>3072.5967154614218</v>
      </c>
      <c r="V24" s="49">
        <f>V21*Допущения!V15/1000</f>
        <v>3116.0044391179895</v>
      </c>
      <c r="W24" s="49">
        <f>W21*Допущения!W15/1000</f>
        <v>3160.0686895838885</v>
      </c>
    </row>
    <row r="25" spans="1:23" ht="15.75" customHeight="1" x14ac:dyDescent="0.35">
      <c r="A25" s="46" t="s">
        <v>139</v>
      </c>
      <c r="B25" s="43" t="s">
        <v>89</v>
      </c>
      <c r="C25" s="44"/>
      <c r="D25" s="40"/>
      <c r="E25" s="40"/>
      <c r="F25" s="40"/>
      <c r="G25" s="49">
        <f t="shared" ref="G25:W25" si="3">SUM(G23:G24)</f>
        <v>0</v>
      </c>
      <c r="H25" s="49">
        <f t="shared" si="3"/>
        <v>0</v>
      </c>
      <c r="I25" s="49">
        <f t="shared" si="3"/>
        <v>1651.5565397729492</v>
      </c>
      <c r="J25" s="49">
        <f t="shared" si="3"/>
        <v>3350.7456580038229</v>
      </c>
      <c r="K25" s="49">
        <f t="shared" si="3"/>
        <v>5098.6668423764359</v>
      </c>
      <c r="L25" s="49">
        <f t="shared" si="3"/>
        <v>6892.5312474610801</v>
      </c>
      <c r="M25" s="49">
        <f t="shared" si="3"/>
        <v>8735.2839859031883</v>
      </c>
      <c r="N25" s="49">
        <f t="shared" si="3"/>
        <v>10627.997935794616</v>
      </c>
      <c r="O25" s="49">
        <f t="shared" si="3"/>
        <v>11128.971855267959</v>
      </c>
      <c r="P25" s="49">
        <f t="shared" si="3"/>
        <v>11635.817677727942</v>
      </c>
      <c r="Q25" s="49">
        <f t="shared" si="3"/>
        <v>11791.684881272547</v>
      </c>
      <c r="R25" s="49">
        <f t="shared" si="3"/>
        <v>11949.777521509643</v>
      </c>
      <c r="S25" s="49">
        <f t="shared" si="3"/>
        <v>12110.129733431651</v>
      </c>
      <c r="T25" s="49">
        <f t="shared" si="3"/>
        <v>12272.776213803199</v>
      </c>
      <c r="U25" s="49">
        <f t="shared" si="3"/>
        <v>12437.752230983566</v>
      </c>
      <c r="V25" s="49">
        <f t="shared" si="3"/>
        <v>12605.093634929119</v>
      </c>
      <c r="W25" s="49">
        <f t="shared" si="3"/>
        <v>12774.836867378997</v>
      </c>
    </row>
    <row r="26" spans="1:23" ht="15.75" customHeight="1" x14ac:dyDescent="0.35">
      <c r="A26" s="47"/>
      <c r="B26" s="48"/>
      <c r="C26" s="44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</row>
    <row r="27" spans="1:23" s="35" customFormat="1" ht="15.75" customHeight="1" x14ac:dyDescent="0.3">
      <c r="A27" s="36" t="s">
        <v>140</v>
      </c>
      <c r="B27" s="37"/>
      <c r="C27" s="36"/>
      <c r="D27" s="34"/>
      <c r="E27" s="38"/>
      <c r="F27" s="38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23" ht="15.75" customHeight="1" x14ac:dyDescent="0.35">
      <c r="A28" s="42" t="s">
        <v>141</v>
      </c>
      <c r="B28" s="43" t="s">
        <v>89</v>
      </c>
      <c r="C28" s="44"/>
      <c r="D28" s="40"/>
      <c r="E28" s="40"/>
      <c r="F28" s="40"/>
      <c r="G28" s="49">
        <f>Допущения!G46*Допущения!G48</f>
        <v>0</v>
      </c>
      <c r="H28" s="49">
        <f>Допущения!H46*Допущения!H48</f>
        <v>1836.0000000000002</v>
      </c>
      <c r="I28" s="49">
        <f>Допущения!I46*Допущения!I48</f>
        <v>1872.7200000000003</v>
      </c>
      <c r="J28" s="49">
        <f>Допущения!J46*Допущения!J48</f>
        <v>1910.1744000000003</v>
      </c>
      <c r="K28" s="49">
        <f>Допущения!K46*Допущения!K48</f>
        <v>1948.3778880000004</v>
      </c>
      <c r="L28" s="49">
        <f>Допущения!L46*Допущения!L48</f>
        <v>2384.8145349120009</v>
      </c>
      <c r="M28" s="49">
        <f>Допущения!M46*Допущения!M48</f>
        <v>2432.5108256102408</v>
      </c>
      <c r="N28" s="49">
        <f>Допущения!N46*Допущения!N48</f>
        <v>2481.1610421224455</v>
      </c>
      <c r="O28" s="49">
        <f>Допущения!O46*Допущения!O48</f>
        <v>2530.7842629648949</v>
      </c>
      <c r="P28" s="49">
        <f>Допущения!P46*Допущения!P48</f>
        <v>3011.6332729282244</v>
      </c>
      <c r="Q28" s="49">
        <f>Допущения!Q46*Допущения!Q48</f>
        <v>3071.8659383867889</v>
      </c>
      <c r="R28" s="49">
        <f>Допущения!R46*Допущения!R48</f>
        <v>3133.303257154525</v>
      </c>
      <c r="S28" s="49">
        <f>Допущения!S46*Допущения!S48</f>
        <v>3195.9693222976157</v>
      </c>
      <c r="T28" s="49">
        <f>Допущения!T46*Допущения!T48</f>
        <v>3725.5870957069346</v>
      </c>
      <c r="U28" s="49">
        <f>Допущения!U46*Допущения!U48</f>
        <v>3800.0988376210735</v>
      </c>
      <c r="V28" s="49">
        <f>Допущения!V46*Допущения!V48</f>
        <v>3876.1008143734944</v>
      </c>
      <c r="W28" s="49">
        <f>Допущения!W46*Допущения!W48</f>
        <v>3953.6228306609646</v>
      </c>
    </row>
    <row r="29" spans="1:23" ht="12.5" customHeight="1" x14ac:dyDescent="0.25">
      <c r="A29" s="39" t="s">
        <v>70</v>
      </c>
      <c r="B29" s="43" t="s">
        <v>89</v>
      </c>
      <c r="C29" s="54"/>
      <c r="D29" s="54"/>
      <c r="E29" s="54"/>
      <c r="F29" s="54"/>
      <c r="G29" s="55">
        <f>Допущения!G45</f>
        <v>300</v>
      </c>
      <c r="H29" s="55">
        <f>Допущения!H45</f>
        <v>305.25</v>
      </c>
      <c r="I29" s="55">
        <f>Допущения!I45</f>
        <v>310.59187500000002</v>
      </c>
      <c r="J29" s="55">
        <f>Допущения!J45</f>
        <v>316.02723281250002</v>
      </c>
      <c r="K29" s="55">
        <f>Допущения!K45</f>
        <v>321.55770938671878</v>
      </c>
      <c r="L29" s="55">
        <f>Допущения!L45</f>
        <v>326.38107502751956</v>
      </c>
      <c r="M29" s="55">
        <f>Допущения!M45</f>
        <v>331.27679115293233</v>
      </c>
      <c r="N29" s="55">
        <f>Допущения!N45</f>
        <v>336.24594302022626</v>
      </c>
      <c r="O29" s="55">
        <f>Допущения!O45</f>
        <v>341.28963216552961</v>
      </c>
      <c r="P29" s="55">
        <f>Допущения!P45</f>
        <v>345.55575256759869</v>
      </c>
      <c r="Q29" s="55">
        <f>Допущения!Q45</f>
        <v>349.87519947469366</v>
      </c>
      <c r="R29" s="55">
        <f>Допущения!R45</f>
        <v>354.24863946812729</v>
      </c>
      <c r="S29" s="55">
        <f>Допущения!S45</f>
        <v>358.6767474614789</v>
      </c>
      <c r="T29" s="55">
        <f>Допущения!T45</f>
        <v>363.16020680474736</v>
      </c>
      <c r="U29" s="55">
        <f>Допущения!U45</f>
        <v>367.69970938980669</v>
      </c>
      <c r="V29" s="55">
        <f>Допущения!V45</f>
        <v>372.29595575717923</v>
      </c>
      <c r="W29" s="55">
        <f>Допущения!W45</f>
        <v>376.94965520414394</v>
      </c>
    </row>
    <row r="30" spans="1:23" ht="12.5" customHeight="1" x14ac:dyDescent="0.25">
      <c r="A30" s="39" t="s">
        <v>142</v>
      </c>
      <c r="B30" s="43" t="s">
        <v>89</v>
      </c>
      <c r="C30" s="54"/>
      <c r="D30" s="54"/>
      <c r="E30" s="54"/>
      <c r="F30" s="54"/>
      <c r="G30" s="49">
        <f t="shared" ref="G30:W30" si="4">SUM(G28:G29)</f>
        <v>300</v>
      </c>
      <c r="H30" s="49">
        <f t="shared" si="4"/>
        <v>2141.25</v>
      </c>
      <c r="I30" s="49">
        <f t="shared" si="4"/>
        <v>2183.3118750000003</v>
      </c>
      <c r="J30" s="49">
        <f t="shared" si="4"/>
        <v>2226.2016328125005</v>
      </c>
      <c r="K30" s="49">
        <f t="shared" si="4"/>
        <v>2269.9355973867191</v>
      </c>
      <c r="L30" s="49">
        <f t="shared" si="4"/>
        <v>2711.1956099395206</v>
      </c>
      <c r="M30" s="49">
        <f t="shared" si="4"/>
        <v>2763.787616763173</v>
      </c>
      <c r="N30" s="49">
        <f t="shared" si="4"/>
        <v>2817.4069851426716</v>
      </c>
      <c r="O30" s="49">
        <f t="shared" si="4"/>
        <v>2872.0738951304247</v>
      </c>
      <c r="P30" s="49">
        <f t="shared" si="4"/>
        <v>3357.189025495823</v>
      </c>
      <c r="Q30" s="49">
        <f t="shared" si="4"/>
        <v>3421.7411378614825</v>
      </c>
      <c r="R30" s="49">
        <f t="shared" si="4"/>
        <v>3487.5518966226523</v>
      </c>
      <c r="S30" s="49">
        <f t="shared" si="4"/>
        <v>3554.6460697590946</v>
      </c>
      <c r="T30" s="49">
        <f t="shared" si="4"/>
        <v>4088.7473025116819</v>
      </c>
      <c r="U30" s="49">
        <f t="shared" si="4"/>
        <v>4167.7985470108797</v>
      </c>
      <c r="V30" s="49">
        <f t="shared" si="4"/>
        <v>4248.3967701306738</v>
      </c>
      <c r="W30" s="49">
        <f t="shared" si="4"/>
        <v>4330.5724858651083</v>
      </c>
    </row>
    <row r="31" spans="1:23" ht="12.5" customHeight="1" x14ac:dyDescent="0.25">
      <c r="A31" s="39" t="s">
        <v>78</v>
      </c>
      <c r="B31" s="43" t="s">
        <v>89</v>
      </c>
      <c r="C31" s="39" t="s">
        <v>143</v>
      </c>
      <c r="D31" s="54"/>
      <c r="E31" s="54"/>
      <c r="F31" s="54"/>
      <c r="G31" s="49">
        <f>G30*Допущения!G49</f>
        <v>15</v>
      </c>
      <c r="H31" s="49">
        <f>H30*Допущения!H49</f>
        <v>107.0625</v>
      </c>
      <c r="I31" s="49">
        <f>I30*Допущения!I49</f>
        <v>109.16559375000003</v>
      </c>
      <c r="J31" s="49">
        <f>J30*Допущения!J49</f>
        <v>111.31008164062503</v>
      </c>
      <c r="K31" s="49">
        <f>K30*Допущения!K49</f>
        <v>113.49677986933597</v>
      </c>
      <c r="L31" s="49">
        <f>L30*Допущения!L49</f>
        <v>135.55978049697603</v>
      </c>
      <c r="M31" s="49">
        <f>M30*Допущения!M49</f>
        <v>138.18938083815866</v>
      </c>
      <c r="N31" s="49">
        <f>N30*Допущения!N49</f>
        <v>140.8703492571336</v>
      </c>
      <c r="O31" s="49">
        <f>O30*Допущения!O49</f>
        <v>143.60369475652124</v>
      </c>
      <c r="P31" s="49">
        <f>P30*Допущения!P49</f>
        <v>167.85945127479116</v>
      </c>
      <c r="Q31" s="49">
        <f>Q30*Допущения!Q49</f>
        <v>171.08705689307413</v>
      </c>
      <c r="R31" s="49">
        <f>R30*Допущения!R49</f>
        <v>174.37759483113263</v>
      </c>
      <c r="S31" s="49">
        <f>S30*Допущения!S49</f>
        <v>177.73230348795474</v>
      </c>
      <c r="T31" s="49">
        <f>T30*Допущения!T49</f>
        <v>204.43736512558411</v>
      </c>
      <c r="U31" s="49">
        <f>U30*Допущения!U49</f>
        <v>208.38992735054399</v>
      </c>
      <c r="V31" s="49">
        <f>V30*Допущения!V49</f>
        <v>212.41983850653369</v>
      </c>
      <c r="W31" s="49">
        <f>W30*Допущения!W49</f>
        <v>216.52862429325543</v>
      </c>
    </row>
    <row r="32" spans="1:23" ht="13" customHeight="1" x14ac:dyDescent="0.3">
      <c r="A32" s="56" t="s">
        <v>144</v>
      </c>
      <c r="B32" s="43" t="s">
        <v>89</v>
      </c>
      <c r="C32" s="54"/>
      <c r="D32" s="54"/>
      <c r="E32" s="54"/>
      <c r="F32" s="54"/>
      <c r="G32" s="49">
        <f t="shared" ref="G32:W32" si="5">G30+G31</f>
        <v>315</v>
      </c>
      <c r="H32" s="49">
        <f t="shared" si="5"/>
        <v>2248.3125</v>
      </c>
      <c r="I32" s="49">
        <f t="shared" si="5"/>
        <v>2292.4774687500003</v>
      </c>
      <c r="J32" s="49">
        <f t="shared" si="5"/>
        <v>2337.5117144531255</v>
      </c>
      <c r="K32" s="49">
        <f t="shared" si="5"/>
        <v>2383.4323772560551</v>
      </c>
      <c r="L32" s="49">
        <f t="shared" si="5"/>
        <v>2846.7553904364968</v>
      </c>
      <c r="M32" s="49">
        <f t="shared" si="5"/>
        <v>2901.9769976013317</v>
      </c>
      <c r="N32" s="49">
        <f t="shared" si="5"/>
        <v>2958.2773343998051</v>
      </c>
      <c r="O32" s="49">
        <f t="shared" si="5"/>
        <v>3015.677589886946</v>
      </c>
      <c r="P32" s="49">
        <f t="shared" si="5"/>
        <v>3525.0484767706143</v>
      </c>
      <c r="Q32" s="49">
        <f t="shared" si="5"/>
        <v>3592.8281947545565</v>
      </c>
      <c r="R32" s="49">
        <f t="shared" si="5"/>
        <v>3661.929491453785</v>
      </c>
      <c r="S32" s="49">
        <f t="shared" si="5"/>
        <v>3732.3783732470492</v>
      </c>
      <c r="T32" s="49">
        <f t="shared" si="5"/>
        <v>4293.1846676372661</v>
      </c>
      <c r="U32" s="49">
        <f t="shared" si="5"/>
        <v>4376.1884743614237</v>
      </c>
      <c r="V32" s="49">
        <f t="shared" si="5"/>
        <v>4460.8166086372075</v>
      </c>
      <c r="W32" s="49">
        <f t="shared" si="5"/>
        <v>4547.1011101583636</v>
      </c>
    </row>
    <row r="34" spans="1:23" s="35" customFormat="1" ht="13" customHeight="1" x14ac:dyDescent="0.3">
      <c r="A34" s="38" t="s">
        <v>145</v>
      </c>
      <c r="B34" s="59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</row>
    <row r="35" spans="1:23" ht="12.5" customHeight="1" x14ac:dyDescent="0.25">
      <c r="A35" s="39" t="s">
        <v>146</v>
      </c>
      <c r="B35" s="43" t="s">
        <v>89</v>
      </c>
      <c r="C35" s="39"/>
      <c r="D35" s="54"/>
      <c r="E35" s="54"/>
      <c r="F35" s="54"/>
      <c r="G35" s="49">
        <f>G10*Допущения!G14/1000+G16*Допущения!G15/1000</f>
        <v>0</v>
      </c>
      <c r="H35" s="49">
        <f>H10*Допущения!H14/1000+H16*Допущения!H15/1000</f>
        <v>0</v>
      </c>
      <c r="I35" s="49">
        <f>I10*Допущения!I14/1000+I16*Допущения!I15/1000</f>
        <v>948.54475852294922</v>
      </c>
      <c r="J35" s="49">
        <f>J10*Допущения!J14/1000+J16*Допущения!J15/1000</f>
        <v>1918.4910581600725</v>
      </c>
      <c r="K35" s="49">
        <f>K10*Допущения!K14/1000+K16*Допущения!K15/1000</f>
        <v>2910.2010531149112</v>
      </c>
      <c r="L35" s="49">
        <f>L10*Допущения!L14/1000+L16*Допущения!L15/1000</f>
        <v>3924.042344993818</v>
      </c>
      <c r="M35" s="49">
        <f>M10*Допущения!M14/1000+M16*Допущения!M15/1000</f>
        <v>4960.3880596228491</v>
      </c>
      <c r="N35" s="49">
        <f>N10*Допущения!N14/1000+N16*Допущения!N15/1000</f>
        <v>6019.6169249045643</v>
      </c>
      <c r="O35" s="49">
        <f>O10*Допущения!O14/1000+O16*Допущения!O15/1000</f>
        <v>6240.6710296804968</v>
      </c>
      <c r="P35" s="49">
        <f>P10*Допущения!P14/1000+P16*Допущения!P15/1000</f>
        <v>6465.9465715066926</v>
      </c>
      <c r="Q35" s="49">
        <f>Q10*Допущения!Q14/1000+Q16*Допущения!Q15/1000</f>
        <v>6538.8905312665038</v>
      </c>
      <c r="R35" s="49">
        <f>R10*Допущения!R14/1000+R16*Допущения!R15/1000</f>
        <v>6612.6573900723542</v>
      </c>
      <c r="S35" s="49">
        <f>S10*Допущения!S14/1000+S16*Допущения!S15/1000</f>
        <v>6687.2564312541072</v>
      </c>
      <c r="T35" s="49">
        <f>T10*Допущения!T14/1000+T16*Допущения!T15/1000</f>
        <v>6762.697042869193</v>
      </c>
      <c r="U35" s="49">
        <f>U10*Допущения!U14/1000+U16*Допущения!U15/1000</f>
        <v>6838.9887188840594</v>
      </c>
      <c r="V35" s="49">
        <f>V10*Допущения!V14/1000+V16*Допущения!V15/1000</f>
        <v>6916.1410603689719</v>
      </c>
      <c r="W35" s="49">
        <f>W10*Допущения!W14/1000+W16*Допущения!W15/1000</f>
        <v>6994.1637767062593</v>
      </c>
    </row>
    <row r="36" spans="1:23" ht="12.5" customHeight="1" x14ac:dyDescent="0.25">
      <c r="A36" s="39" t="s">
        <v>81</v>
      </c>
      <c r="B36" s="43" t="s">
        <v>82</v>
      </c>
      <c r="C36" s="54"/>
      <c r="D36" s="54"/>
      <c r="E36" s="54"/>
      <c r="F36" s="54"/>
      <c r="G36" s="55">
        <f>Допущения!G52</f>
        <v>7</v>
      </c>
      <c r="H36" s="55">
        <f>Допущения!H52</f>
        <v>7</v>
      </c>
      <c r="I36" s="55">
        <f>Допущения!I52</f>
        <v>7</v>
      </c>
      <c r="J36" s="55">
        <f>Допущения!J52</f>
        <v>7</v>
      </c>
      <c r="K36" s="55">
        <f>Допущения!K52</f>
        <v>7</v>
      </c>
      <c r="L36" s="55">
        <f>Допущения!L52</f>
        <v>7</v>
      </c>
      <c r="M36" s="55">
        <f>Допущения!M52</f>
        <v>7</v>
      </c>
      <c r="N36" s="55">
        <f>Допущения!N52</f>
        <v>7</v>
      </c>
      <c r="O36" s="55">
        <f>Допущения!O52</f>
        <v>7</v>
      </c>
      <c r="P36" s="55">
        <f>Допущения!P52</f>
        <v>7</v>
      </c>
      <c r="Q36" s="55">
        <f>Допущения!Q52</f>
        <v>7</v>
      </c>
      <c r="R36" s="55">
        <f>Допущения!R52</f>
        <v>7</v>
      </c>
      <c r="S36" s="55">
        <f>Допущения!S52</f>
        <v>7</v>
      </c>
      <c r="T36" s="55">
        <f>Допущения!T52</f>
        <v>7</v>
      </c>
      <c r="U36" s="55">
        <f>Допущения!U52</f>
        <v>7</v>
      </c>
      <c r="V36" s="55">
        <f>Допущения!V52</f>
        <v>7</v>
      </c>
      <c r="W36" s="55">
        <f>Допущения!W52</f>
        <v>7</v>
      </c>
    </row>
    <row r="37" spans="1:23" ht="12.5" customHeight="1" x14ac:dyDescent="0.25">
      <c r="A37" s="39" t="s">
        <v>147</v>
      </c>
      <c r="B37" s="43" t="s">
        <v>89</v>
      </c>
      <c r="C37" s="54"/>
      <c r="D37" s="54"/>
      <c r="E37" s="54"/>
      <c r="F37" s="54"/>
      <c r="G37" s="49">
        <f t="shared" ref="G37:W37" si="6">G36/90*G35</f>
        <v>0</v>
      </c>
      <c r="H37" s="49">
        <f t="shared" si="6"/>
        <v>0</v>
      </c>
      <c r="I37" s="49">
        <f t="shared" si="6"/>
        <v>73.775703440673823</v>
      </c>
      <c r="J37" s="49">
        <f t="shared" si="6"/>
        <v>149.21597119022786</v>
      </c>
      <c r="K37" s="49">
        <f t="shared" si="6"/>
        <v>226.34897079782644</v>
      </c>
      <c r="L37" s="49">
        <f t="shared" si="6"/>
        <v>305.20329349951919</v>
      </c>
      <c r="M37" s="49">
        <f t="shared" si="6"/>
        <v>385.80796019288829</v>
      </c>
      <c r="N37" s="49">
        <f t="shared" si="6"/>
        <v>468.19242749257722</v>
      </c>
      <c r="O37" s="49">
        <f t="shared" si="6"/>
        <v>485.38552453070531</v>
      </c>
      <c r="P37" s="49">
        <f t="shared" si="6"/>
        <v>502.90695556163166</v>
      </c>
      <c r="Q37" s="49">
        <f t="shared" si="6"/>
        <v>508.58037465406142</v>
      </c>
      <c r="R37" s="49">
        <f t="shared" si="6"/>
        <v>514.31779700562754</v>
      </c>
      <c r="S37" s="49">
        <f t="shared" si="6"/>
        <v>520.11994465309726</v>
      </c>
      <c r="T37" s="49">
        <f t="shared" si="6"/>
        <v>525.987547778715</v>
      </c>
      <c r="U37" s="49">
        <f t="shared" si="6"/>
        <v>531.92134480209347</v>
      </c>
      <c r="V37" s="49">
        <f t="shared" si="6"/>
        <v>537.92208247314227</v>
      </c>
      <c r="W37" s="49">
        <f t="shared" si="6"/>
        <v>543.99051596604238</v>
      </c>
    </row>
    <row r="38" spans="1:23" ht="12.5" customHeight="1" x14ac:dyDescent="0.25">
      <c r="A38" s="39" t="s">
        <v>84</v>
      </c>
      <c r="B38" s="43" t="s">
        <v>82</v>
      </c>
      <c r="C38" s="54"/>
      <c r="D38" s="54"/>
      <c r="E38" s="54"/>
      <c r="F38" s="54"/>
      <c r="G38" s="55">
        <f>Допущения!G53</f>
        <v>5</v>
      </c>
      <c r="H38" s="55">
        <f>Допущения!H53</f>
        <v>5</v>
      </c>
      <c r="I38" s="55">
        <f>Допущения!I53</f>
        <v>5</v>
      </c>
      <c r="J38" s="55">
        <f>Допущения!J53</f>
        <v>5</v>
      </c>
      <c r="K38" s="55">
        <f>Допущения!K53</f>
        <v>5</v>
      </c>
      <c r="L38" s="55">
        <f>Допущения!L53</f>
        <v>5</v>
      </c>
      <c r="M38" s="55">
        <f>Допущения!M53</f>
        <v>5</v>
      </c>
      <c r="N38" s="55">
        <f>Допущения!N53</f>
        <v>5</v>
      </c>
      <c r="O38" s="55">
        <f>Допущения!O53</f>
        <v>5</v>
      </c>
      <c r="P38" s="55">
        <f>Допущения!P53</f>
        <v>5</v>
      </c>
      <c r="Q38" s="55">
        <f>Допущения!Q53</f>
        <v>5</v>
      </c>
      <c r="R38" s="55">
        <f>Допущения!R53</f>
        <v>5</v>
      </c>
      <c r="S38" s="55">
        <f>Допущения!S53</f>
        <v>5</v>
      </c>
      <c r="T38" s="55">
        <f>Допущения!T53</f>
        <v>5</v>
      </c>
      <c r="U38" s="55">
        <f>Допущения!U53</f>
        <v>5</v>
      </c>
      <c r="V38" s="55">
        <f>Допущения!V53</f>
        <v>5</v>
      </c>
      <c r="W38" s="55">
        <f>Допущения!W53</f>
        <v>5</v>
      </c>
    </row>
    <row r="39" spans="1:23" ht="12.5" customHeight="1" x14ac:dyDescent="0.25">
      <c r="A39" s="39" t="s">
        <v>148</v>
      </c>
      <c r="B39" s="43" t="s">
        <v>89</v>
      </c>
      <c r="C39" s="54"/>
      <c r="D39" s="54"/>
      <c r="E39" s="54"/>
      <c r="F39" s="54"/>
      <c r="G39" s="49">
        <f t="shared" ref="G39:W39" si="7">G38/90*G7</f>
        <v>0</v>
      </c>
      <c r="H39" s="49">
        <f t="shared" si="7"/>
        <v>0</v>
      </c>
      <c r="I39" s="49">
        <f t="shared" si="7"/>
        <v>149.54423611111113</v>
      </c>
      <c r="J39" s="49">
        <f t="shared" si="7"/>
        <v>304.3225204861111</v>
      </c>
      <c r="K39" s="49">
        <f t="shared" si="7"/>
        <v>464.47224689192723</v>
      </c>
      <c r="L39" s="49">
        <f t="shared" si="7"/>
        <v>628.58577412707473</v>
      </c>
      <c r="M39" s="49">
        <f t="shared" si="7"/>
        <v>797.518200923726</v>
      </c>
      <c r="N39" s="49">
        <f t="shared" si="7"/>
        <v>971.37716872509816</v>
      </c>
      <c r="O39" s="49">
        <f t="shared" si="7"/>
        <v>1023.8688964965891</v>
      </c>
      <c r="P39" s="49">
        <f t="shared" si="7"/>
        <v>1075.0623413214184</v>
      </c>
      <c r="Q39" s="49">
        <f t="shared" si="7"/>
        <v>1088.5006205879361</v>
      </c>
      <c r="R39" s="49">
        <f t="shared" si="7"/>
        <v>1102.1068783452852</v>
      </c>
      <c r="S39" s="49">
        <f t="shared" si="7"/>
        <v>1115.8832143246011</v>
      </c>
      <c r="T39" s="49">
        <f t="shared" si="7"/>
        <v>1129.8317545036589</v>
      </c>
      <c r="U39" s="49">
        <f t="shared" si="7"/>
        <v>1143.9546514349545</v>
      </c>
      <c r="V39" s="49">
        <f t="shared" si="7"/>
        <v>1158.2540845778915</v>
      </c>
      <c r="W39" s="49">
        <f t="shared" si="7"/>
        <v>1172.7322606351149</v>
      </c>
    </row>
    <row r="40" spans="1:23" ht="12.5" customHeight="1" x14ac:dyDescent="0.25">
      <c r="A40" s="39" t="s">
        <v>86</v>
      </c>
      <c r="B40" s="43" t="s">
        <v>82</v>
      </c>
      <c r="C40" s="54"/>
      <c r="D40" s="54"/>
      <c r="E40" s="54"/>
      <c r="F40" s="54"/>
      <c r="G40" s="55">
        <f>Допущения!G54</f>
        <v>15</v>
      </c>
      <c r="H40" s="55">
        <f>Допущения!H54</f>
        <v>15</v>
      </c>
      <c r="I40" s="55">
        <f>Допущения!I54</f>
        <v>15</v>
      </c>
      <c r="J40" s="55">
        <f>Допущения!J54</f>
        <v>15</v>
      </c>
      <c r="K40" s="55">
        <f>Допущения!K54</f>
        <v>15</v>
      </c>
      <c r="L40" s="55">
        <f>Допущения!L54</f>
        <v>15</v>
      </c>
      <c r="M40" s="55">
        <f>Допущения!M54</f>
        <v>15</v>
      </c>
      <c r="N40" s="55">
        <f>Допущения!N54</f>
        <v>15</v>
      </c>
      <c r="O40" s="55">
        <f>Допущения!O54</f>
        <v>15</v>
      </c>
      <c r="P40" s="55">
        <f>Допущения!P54</f>
        <v>15</v>
      </c>
      <c r="Q40" s="55">
        <f>Допущения!Q54</f>
        <v>15</v>
      </c>
      <c r="R40" s="55">
        <f>Допущения!R54</f>
        <v>15</v>
      </c>
      <c r="S40" s="55">
        <f>Допущения!S54</f>
        <v>15</v>
      </c>
      <c r="T40" s="55">
        <f>Допущения!T54</f>
        <v>15</v>
      </c>
      <c r="U40" s="55">
        <f>Допущения!U54</f>
        <v>15</v>
      </c>
      <c r="V40" s="55">
        <f>Допущения!V54</f>
        <v>15</v>
      </c>
      <c r="W40" s="55">
        <f>Допущения!W54</f>
        <v>15</v>
      </c>
    </row>
    <row r="41" spans="1:23" ht="12.5" customHeight="1" x14ac:dyDescent="0.25">
      <c r="A41" s="39" t="s">
        <v>111</v>
      </c>
      <c r="B41" s="43" t="s">
        <v>89</v>
      </c>
      <c r="C41" s="39" t="s">
        <v>149</v>
      </c>
      <c r="D41" s="54"/>
      <c r="E41" s="54"/>
      <c r="F41" s="54"/>
      <c r="G41" s="55">
        <f>Допущения!$G$76</f>
        <v>150</v>
      </c>
      <c r="H41" s="55">
        <f>Допущения!$G$76</f>
        <v>150</v>
      </c>
      <c r="I41" s="49">
        <f t="shared" ref="I41:W41" si="8">I40/90*I35</f>
        <v>158.0907930871582</v>
      </c>
      <c r="J41" s="49">
        <f t="shared" si="8"/>
        <v>319.7485096933454</v>
      </c>
      <c r="K41" s="49">
        <f t="shared" si="8"/>
        <v>485.03350885248517</v>
      </c>
      <c r="L41" s="49">
        <f t="shared" si="8"/>
        <v>654.00705749896963</v>
      </c>
      <c r="M41" s="49">
        <f t="shared" si="8"/>
        <v>826.73134327047478</v>
      </c>
      <c r="N41" s="49">
        <f t="shared" si="8"/>
        <v>1003.269487484094</v>
      </c>
      <c r="O41" s="49">
        <f t="shared" si="8"/>
        <v>1040.1118382800828</v>
      </c>
      <c r="P41" s="49">
        <f t="shared" si="8"/>
        <v>1077.657761917782</v>
      </c>
      <c r="Q41" s="49">
        <f t="shared" si="8"/>
        <v>1089.8150885444172</v>
      </c>
      <c r="R41" s="49">
        <f t="shared" si="8"/>
        <v>1102.109565012059</v>
      </c>
      <c r="S41" s="49">
        <f t="shared" si="8"/>
        <v>1114.5427385423511</v>
      </c>
      <c r="T41" s="49">
        <f t="shared" si="8"/>
        <v>1127.116173811532</v>
      </c>
      <c r="U41" s="49">
        <f t="shared" si="8"/>
        <v>1139.8314531473432</v>
      </c>
      <c r="V41" s="49">
        <f t="shared" si="8"/>
        <v>1152.690176728162</v>
      </c>
      <c r="W41" s="49">
        <f t="shared" si="8"/>
        <v>1165.6939627843765</v>
      </c>
    </row>
    <row r="43" spans="1:23" s="35" customFormat="1" ht="13" customHeight="1" x14ac:dyDescent="0.3">
      <c r="A43" s="38" t="s">
        <v>150</v>
      </c>
      <c r="B43" s="59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</row>
    <row r="44" spans="1:23" ht="12.5" customHeight="1" x14ac:dyDescent="0.25">
      <c r="A44" s="39" t="s">
        <v>151</v>
      </c>
      <c r="B44" s="43" t="s">
        <v>89</v>
      </c>
      <c r="C44" s="54"/>
      <c r="D44" s="54"/>
      <c r="E44" s="54"/>
      <c r="F44" s="54"/>
      <c r="G44" s="49">
        <v>0</v>
      </c>
      <c r="H44" s="55">
        <f>G44+Допущения!$D$57</f>
        <v>12500</v>
      </c>
      <c r="I44" s="49">
        <f t="shared" ref="I44:W44" si="9">H44+I45</f>
        <v>13125</v>
      </c>
      <c r="J44" s="49">
        <f t="shared" si="9"/>
        <v>13781.25</v>
      </c>
      <c r="K44" s="49">
        <f t="shared" si="9"/>
        <v>14470.3125</v>
      </c>
      <c r="L44" s="49">
        <f t="shared" si="9"/>
        <v>15193.828125</v>
      </c>
      <c r="M44" s="49">
        <f t="shared" si="9"/>
        <v>15953.51953125</v>
      </c>
      <c r="N44" s="49">
        <f t="shared" si="9"/>
        <v>16751.195507812499</v>
      </c>
      <c r="O44" s="49">
        <f t="shared" si="9"/>
        <v>17588.755283203125</v>
      </c>
      <c r="P44" s="49">
        <f t="shared" si="9"/>
        <v>18468.193047363282</v>
      </c>
      <c r="Q44" s="49">
        <f t="shared" si="9"/>
        <v>19391.602699731448</v>
      </c>
      <c r="R44" s="49">
        <f t="shared" si="9"/>
        <v>20361.18283471802</v>
      </c>
      <c r="S44" s="49">
        <f t="shared" si="9"/>
        <v>21379.241976453923</v>
      </c>
      <c r="T44" s="49">
        <f t="shared" si="9"/>
        <v>22448.204075276619</v>
      </c>
      <c r="U44" s="49">
        <f t="shared" si="9"/>
        <v>23570.614279040448</v>
      </c>
      <c r="V44" s="49">
        <f t="shared" si="9"/>
        <v>24749.144992992471</v>
      </c>
      <c r="W44" s="49">
        <f t="shared" si="9"/>
        <v>25986.602242642093</v>
      </c>
    </row>
    <row r="45" spans="1:23" ht="12.5" customHeight="1" x14ac:dyDescent="0.25">
      <c r="A45" s="39" t="s">
        <v>152</v>
      </c>
      <c r="B45" s="43" t="s">
        <v>89</v>
      </c>
      <c r="C45" s="39"/>
      <c r="D45" s="54"/>
      <c r="E45" s="54"/>
      <c r="F45" s="54"/>
      <c r="G45" s="49">
        <v>0</v>
      </c>
      <c r="H45" s="49">
        <v>0</v>
      </c>
      <c r="I45" s="55">
        <f>H44/Допущения!$D$59/4</f>
        <v>625</v>
      </c>
      <c r="J45" s="55">
        <f>I44/Допущения!$D$59/4</f>
        <v>656.25</v>
      </c>
      <c r="K45" s="55">
        <f>J44/Допущения!$D$59/4</f>
        <v>689.0625</v>
      </c>
      <c r="L45" s="55">
        <f>K44/Допущения!$D$59/4</f>
        <v>723.515625</v>
      </c>
      <c r="M45" s="55">
        <f>L44/Допущения!$D$59/4</f>
        <v>759.69140625</v>
      </c>
      <c r="N45" s="55">
        <f>M44/Допущения!$D$59/4</f>
        <v>797.67597656249995</v>
      </c>
      <c r="O45" s="55">
        <f>N44/Допущения!$D$59/4</f>
        <v>837.55977539062496</v>
      </c>
      <c r="P45" s="55">
        <f>O44/Допущения!$D$59/4</f>
        <v>879.43776416015623</v>
      </c>
      <c r="Q45" s="55">
        <f>P44/Допущения!$D$59/4</f>
        <v>923.40965236816407</v>
      </c>
      <c r="R45" s="55">
        <f>Q44/Допущения!$D$59/4</f>
        <v>969.58013498657238</v>
      </c>
      <c r="S45" s="55">
        <f>R44/Допущения!$D$59/4</f>
        <v>1018.059141735901</v>
      </c>
      <c r="T45" s="55">
        <f>S44/Допущения!$D$59/4</f>
        <v>1068.9620988226961</v>
      </c>
      <c r="U45" s="55">
        <f>T44/Допущения!$D$59/4</f>
        <v>1122.4102037638309</v>
      </c>
      <c r="V45" s="55">
        <f>U44/Допущения!$D$59/4</f>
        <v>1178.5307139520223</v>
      </c>
      <c r="W45" s="55">
        <f>V44/Допущения!$D$59/4</f>
        <v>1237.4572496496235</v>
      </c>
    </row>
    <row r="46" spans="1:23" ht="12.5" customHeight="1" x14ac:dyDescent="0.25">
      <c r="A46" s="39" t="s">
        <v>153</v>
      </c>
      <c r="B46" s="43" t="s">
        <v>89</v>
      </c>
      <c r="C46" s="39"/>
      <c r="D46" s="54"/>
      <c r="E46" s="54"/>
      <c r="F46" s="54"/>
      <c r="G46" s="49">
        <v>0</v>
      </c>
      <c r="H46" s="55">
        <f>G44/Допущения!$D$58/4</f>
        <v>0</v>
      </c>
      <c r="I46" s="55">
        <f>H44/Допущения!$D$58/4</f>
        <v>1041.6666666666667</v>
      </c>
      <c r="J46" s="55">
        <f>I44/Допущения!$D$58/4</f>
        <v>1093.75</v>
      </c>
      <c r="K46" s="55">
        <f>J44/Допущения!$D$58/4</f>
        <v>1148.4375</v>
      </c>
      <c r="L46" s="55">
        <f>K44/Допущения!$D$58/4</f>
        <v>1205.859375</v>
      </c>
      <c r="M46" s="55">
        <f>L44/Допущения!$D$58/4</f>
        <v>1266.15234375</v>
      </c>
      <c r="N46" s="55">
        <f>M44/Допущения!$D$58/4</f>
        <v>1329.4599609375</v>
      </c>
      <c r="O46" s="55">
        <f>N44/Допущения!$D$58/4</f>
        <v>1395.9329589843749</v>
      </c>
      <c r="P46" s="55">
        <f>O44/Допущения!$D$58/4</f>
        <v>1465.7296069335937</v>
      </c>
      <c r="Q46" s="55">
        <f>P44/Допущения!$D$58/4</f>
        <v>1539.0160872802735</v>
      </c>
      <c r="R46" s="55">
        <f>Q44/Допущения!$D$58/4</f>
        <v>1615.9668916442872</v>
      </c>
      <c r="S46" s="55">
        <f>R44/Допущения!$D$58/4</f>
        <v>1696.7652362265017</v>
      </c>
      <c r="T46" s="55">
        <f>S44/Допущения!$D$58/4</f>
        <v>1781.603498037827</v>
      </c>
      <c r="U46" s="55">
        <f>T44/Допущения!$D$58/4</f>
        <v>1870.6836729397182</v>
      </c>
      <c r="V46" s="55">
        <f>U44/Допущения!$D$58/4</f>
        <v>1964.2178565867041</v>
      </c>
      <c r="W46" s="55">
        <f>V44/Допущения!$D$58/4</f>
        <v>2062.4287494160394</v>
      </c>
    </row>
    <row r="47" spans="1:23" ht="12.5" customHeight="1" x14ac:dyDescent="0.25">
      <c r="A47" s="39" t="s">
        <v>154</v>
      </c>
      <c r="B47" s="43" t="s">
        <v>89</v>
      </c>
      <c r="C47" s="54"/>
      <c r="D47" s="54"/>
      <c r="E47" s="54"/>
      <c r="F47" s="54"/>
      <c r="G47" s="49">
        <v>0</v>
      </c>
      <c r="H47" s="49">
        <f t="shared" ref="H47:W47" si="10">G47+(H44-G44)-H46</f>
        <v>12500</v>
      </c>
      <c r="I47" s="49">
        <f t="shared" si="10"/>
        <v>12083.333333333334</v>
      </c>
      <c r="J47" s="49">
        <f t="shared" si="10"/>
        <v>11645.833333333334</v>
      </c>
      <c r="K47" s="49">
        <f t="shared" si="10"/>
        <v>11186.458333333334</v>
      </c>
      <c r="L47" s="49">
        <f t="shared" si="10"/>
        <v>10704.114583333334</v>
      </c>
      <c r="M47" s="49">
        <f t="shared" si="10"/>
        <v>10197.653645833334</v>
      </c>
      <c r="N47" s="49">
        <f t="shared" si="10"/>
        <v>9665.8696614583332</v>
      </c>
      <c r="O47" s="49">
        <f t="shared" si="10"/>
        <v>9107.4964778645844</v>
      </c>
      <c r="P47" s="49">
        <f t="shared" si="10"/>
        <v>8521.2046350911478</v>
      </c>
      <c r="Q47" s="49">
        <f t="shared" si="10"/>
        <v>7905.5982001790398</v>
      </c>
      <c r="R47" s="49">
        <f t="shared" si="10"/>
        <v>7259.2114435213252</v>
      </c>
      <c r="S47" s="49">
        <f t="shared" si="10"/>
        <v>6580.5053490307273</v>
      </c>
      <c r="T47" s="49">
        <f t="shared" si="10"/>
        <v>5867.8639498155962</v>
      </c>
      <c r="U47" s="49">
        <f t="shared" si="10"/>
        <v>5119.5904806397075</v>
      </c>
      <c r="V47" s="49">
        <f t="shared" si="10"/>
        <v>4333.9033380050259</v>
      </c>
      <c r="W47" s="49">
        <f t="shared" si="10"/>
        <v>3508.9318382386086</v>
      </c>
    </row>
    <row r="48" spans="1:23" ht="13" customHeight="1" x14ac:dyDescent="0.3">
      <c r="A48" s="56" t="s">
        <v>155</v>
      </c>
      <c r="B48" s="43" t="s">
        <v>89</v>
      </c>
      <c r="C48" s="54"/>
      <c r="D48" s="54"/>
      <c r="E48" s="54"/>
      <c r="F48" s="54"/>
      <c r="G48" s="49">
        <v>0</v>
      </c>
      <c r="H48" s="49">
        <f t="shared" ref="H48:W48" si="11">H44-G44</f>
        <v>12500</v>
      </c>
      <c r="I48" s="49">
        <f t="shared" si="11"/>
        <v>625</v>
      </c>
      <c r="J48" s="49">
        <f t="shared" si="11"/>
        <v>656.25</v>
      </c>
      <c r="K48" s="49">
        <f t="shared" si="11"/>
        <v>689.0625</v>
      </c>
      <c r="L48" s="49">
        <f t="shared" si="11"/>
        <v>723.515625</v>
      </c>
      <c r="M48" s="49">
        <f t="shared" si="11"/>
        <v>759.69140625</v>
      </c>
      <c r="N48" s="49">
        <f t="shared" si="11"/>
        <v>797.67597656249927</v>
      </c>
      <c r="O48" s="49">
        <f t="shared" si="11"/>
        <v>837.55977539062587</v>
      </c>
      <c r="P48" s="49">
        <f t="shared" si="11"/>
        <v>879.4377641601568</v>
      </c>
      <c r="Q48" s="49">
        <f t="shared" si="11"/>
        <v>923.40965236816555</v>
      </c>
      <c r="R48" s="49">
        <f t="shared" si="11"/>
        <v>969.58013498657238</v>
      </c>
      <c r="S48" s="49">
        <f t="shared" si="11"/>
        <v>1018.0591417359028</v>
      </c>
      <c r="T48" s="49">
        <f t="shared" si="11"/>
        <v>1068.9620988226961</v>
      </c>
      <c r="U48" s="49">
        <f t="shared" si="11"/>
        <v>1122.4102037638295</v>
      </c>
      <c r="V48" s="49">
        <f t="shared" si="11"/>
        <v>1178.5307139520228</v>
      </c>
      <c r="W48" s="49">
        <f t="shared" si="11"/>
        <v>1237.4572496496221</v>
      </c>
    </row>
    <row r="50" spans="1:23" s="35" customFormat="1" ht="13" customHeight="1" x14ac:dyDescent="0.3">
      <c r="A50" s="38" t="s">
        <v>94</v>
      </c>
      <c r="B50" s="59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</row>
    <row r="51" spans="1:23" ht="13" customHeight="1" x14ac:dyDescent="0.3">
      <c r="A51" s="56" t="s">
        <v>95</v>
      </c>
      <c r="B51" s="43" t="s">
        <v>89</v>
      </c>
      <c r="C51" s="54"/>
      <c r="D51" s="54"/>
      <c r="E51" s="54"/>
      <c r="F51" s="54"/>
      <c r="G51" s="55">
        <f>Допущения!G62</f>
        <v>0</v>
      </c>
      <c r="H51" s="55">
        <f>Допущения!H62</f>
        <v>4000</v>
      </c>
      <c r="I51" s="55">
        <f>Допущения!I62</f>
        <v>5000</v>
      </c>
      <c r="J51" s="55">
        <f>Допущения!J62</f>
        <v>0</v>
      </c>
      <c r="K51" s="55">
        <f>Допущения!K62</f>
        <v>0</v>
      </c>
      <c r="L51" s="55">
        <f>Допущения!L62</f>
        <v>0</v>
      </c>
      <c r="M51" s="55">
        <f>Допущения!M62</f>
        <v>0</v>
      </c>
      <c r="N51" s="55">
        <f>Допущения!N62</f>
        <v>0</v>
      </c>
      <c r="O51" s="55">
        <f>Допущения!O62</f>
        <v>0</v>
      </c>
      <c r="P51" s="55">
        <f>Допущения!P62</f>
        <v>0</v>
      </c>
      <c r="Q51" s="55">
        <f>Допущения!Q62</f>
        <v>0</v>
      </c>
      <c r="R51" s="55">
        <f>Допущения!R62</f>
        <v>0</v>
      </c>
      <c r="S51" s="55">
        <f>Допущения!S62</f>
        <v>0</v>
      </c>
      <c r="T51" s="55">
        <f>Допущения!T62</f>
        <v>0</v>
      </c>
      <c r="U51" s="55">
        <f>Допущения!U62</f>
        <v>0</v>
      </c>
      <c r="V51" s="55">
        <f>Допущения!V62</f>
        <v>0</v>
      </c>
      <c r="W51" s="55">
        <f>Допущения!W62</f>
        <v>0</v>
      </c>
    </row>
    <row r="53" spans="1:23" s="35" customFormat="1" ht="13" customHeight="1" x14ac:dyDescent="0.3">
      <c r="A53" s="38" t="s">
        <v>156</v>
      </c>
      <c r="B53" s="59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</row>
    <row r="54" spans="1:23" ht="12.5" customHeight="1" x14ac:dyDescent="0.25">
      <c r="A54" s="39" t="s">
        <v>157</v>
      </c>
      <c r="B54" s="43" t="s">
        <v>89</v>
      </c>
      <c r="C54" s="54"/>
      <c r="D54" s="54"/>
      <c r="E54" s="54"/>
      <c r="F54" s="54"/>
      <c r="G54" s="49">
        <v>0</v>
      </c>
      <c r="H54" s="49">
        <f t="shared" ref="H54:W54" si="12">G54+H55-H56</f>
        <v>11875</v>
      </c>
      <c r="I54" s="49">
        <f t="shared" si="12"/>
        <v>11026.785714285714</v>
      </c>
      <c r="J54" s="49">
        <f t="shared" si="12"/>
        <v>10178.571428571428</v>
      </c>
      <c r="K54" s="49">
        <f t="shared" si="12"/>
        <v>9330.3571428571413</v>
      </c>
      <c r="L54" s="49">
        <f t="shared" si="12"/>
        <v>8482.1428571428551</v>
      </c>
      <c r="M54" s="49">
        <f t="shared" si="12"/>
        <v>7633.9285714285697</v>
      </c>
      <c r="N54" s="49">
        <f t="shared" si="12"/>
        <v>6785.7142857142844</v>
      </c>
      <c r="O54" s="49">
        <f t="shared" si="12"/>
        <v>5937.4999999999991</v>
      </c>
      <c r="P54" s="49">
        <f t="shared" si="12"/>
        <v>5089.2857142857138</v>
      </c>
      <c r="Q54" s="49">
        <f t="shared" si="12"/>
        <v>4241.0714285714284</v>
      </c>
      <c r="R54" s="49">
        <f t="shared" si="12"/>
        <v>3392.8571428571427</v>
      </c>
      <c r="S54" s="49">
        <f t="shared" si="12"/>
        <v>2544.6428571428569</v>
      </c>
      <c r="T54" s="49">
        <f t="shared" si="12"/>
        <v>1696.4285714285711</v>
      </c>
      <c r="U54" s="49">
        <f t="shared" si="12"/>
        <v>848.21428571428544</v>
      </c>
      <c r="V54" s="49">
        <f t="shared" si="12"/>
        <v>0</v>
      </c>
      <c r="W54" s="49">
        <f t="shared" si="12"/>
        <v>0</v>
      </c>
    </row>
    <row r="55" spans="1:23" ht="12.5" customHeight="1" x14ac:dyDescent="0.25">
      <c r="A55" s="39" t="s">
        <v>158</v>
      </c>
      <c r="B55" s="43" t="s">
        <v>89</v>
      </c>
      <c r="C55" s="54"/>
      <c r="D55" s="54"/>
      <c r="E55" s="54"/>
      <c r="F55" s="54"/>
      <c r="G55" s="49">
        <v>0</v>
      </c>
      <c r="H55" s="55">
        <f>Допущения!$D$57*Допущения!$D$65</f>
        <v>11875</v>
      </c>
      <c r="I55" s="49">
        <v>0</v>
      </c>
      <c r="J55" s="49">
        <v>0</v>
      </c>
      <c r="K55" s="49">
        <v>0</v>
      </c>
      <c r="L55" s="49">
        <v>0</v>
      </c>
      <c r="M55" s="49">
        <v>0</v>
      </c>
      <c r="N55" s="49">
        <v>0</v>
      </c>
      <c r="O55" s="49">
        <v>0</v>
      </c>
      <c r="P55" s="49">
        <v>0</v>
      </c>
      <c r="Q55" s="49">
        <v>0</v>
      </c>
      <c r="R55" s="49">
        <v>0</v>
      </c>
      <c r="S55" s="49">
        <v>0</v>
      </c>
      <c r="T55" s="49">
        <v>0</v>
      </c>
      <c r="U55" s="49">
        <v>0</v>
      </c>
      <c r="V55" s="49">
        <v>0</v>
      </c>
      <c r="W55" s="49">
        <v>0</v>
      </c>
    </row>
    <row r="56" spans="1:23" ht="12.5" customHeight="1" x14ac:dyDescent="0.25">
      <c r="A56" s="39" t="s">
        <v>159</v>
      </c>
      <c r="B56" s="43" t="s">
        <v>89</v>
      </c>
      <c r="C56" s="39" t="s">
        <v>160</v>
      </c>
      <c r="D56" s="54"/>
      <c r="E56" s="54"/>
      <c r="F56" s="54"/>
      <c r="G56" s="49">
        <v>0</v>
      </c>
      <c r="H56" s="49">
        <v>0</v>
      </c>
      <c r="I56" s="55">
        <f>Допущения!$D$57*Допущения!$D$65/(Допущения!$D$66*4)</f>
        <v>848.21428571428567</v>
      </c>
      <c r="J56" s="55">
        <f>Допущения!$D$57*Допущения!$D$65/(Допущения!$D$66*4)</f>
        <v>848.21428571428567</v>
      </c>
      <c r="K56" s="55">
        <f>Допущения!$D$57*Допущения!$D$65/(Допущения!$D$66*4)</f>
        <v>848.21428571428567</v>
      </c>
      <c r="L56" s="55">
        <f>Допущения!$D$57*Допущения!$D$65/(Допущения!$D$66*4)</f>
        <v>848.21428571428567</v>
      </c>
      <c r="M56" s="55">
        <f>Допущения!$D$57*Допущения!$D$65/(Допущения!$D$66*4)</f>
        <v>848.21428571428567</v>
      </c>
      <c r="N56" s="55">
        <f>Допущения!$D$57*Допущения!$D$65/(Допущения!$D$66*4)</f>
        <v>848.21428571428567</v>
      </c>
      <c r="O56" s="55">
        <f>Допущения!$D$57*Допущения!$D$65/(Допущения!$D$66*4)</f>
        <v>848.21428571428567</v>
      </c>
      <c r="P56" s="55">
        <f>Допущения!$D$57*Допущения!$D$65/(Допущения!$D$66*4)</f>
        <v>848.21428571428567</v>
      </c>
      <c r="Q56" s="55">
        <f>Допущения!$D$57*Допущения!$D$65/(Допущения!$D$66*4)</f>
        <v>848.21428571428567</v>
      </c>
      <c r="R56" s="55">
        <f>Допущения!$D$57*Допущения!$D$65/(Допущения!$D$66*4)</f>
        <v>848.21428571428567</v>
      </c>
      <c r="S56" s="55">
        <f>Допущения!$D$57*Допущения!$D$65/(Допущения!$D$66*4)</f>
        <v>848.21428571428567</v>
      </c>
      <c r="T56" s="55">
        <f>Допущения!$D$57*Допущения!$D$65/(Допущения!$D$66*4)</f>
        <v>848.21428571428567</v>
      </c>
      <c r="U56" s="55">
        <f>Допущения!$D$57*Допущения!$D$65/(Допущения!$D$66*4)</f>
        <v>848.21428571428567</v>
      </c>
      <c r="V56" s="55">
        <f>Допущения!$D$57*Допущения!$D$65/(Допущения!$D$66*4)</f>
        <v>848.21428571428567</v>
      </c>
      <c r="W56" s="49">
        <v>0</v>
      </c>
    </row>
    <row r="57" spans="1:23" ht="12.5" customHeight="1" x14ac:dyDescent="0.25">
      <c r="A57" s="39" t="s">
        <v>103</v>
      </c>
      <c r="B57" s="61" t="s">
        <v>15</v>
      </c>
      <c r="C57" s="54"/>
      <c r="D57" s="54"/>
      <c r="E57" s="54"/>
      <c r="F57" s="54"/>
      <c r="G57" s="57">
        <f>Допущения!$D$67</f>
        <v>0.09</v>
      </c>
      <c r="H57" s="57">
        <f>Допущения!$D$67</f>
        <v>0.09</v>
      </c>
      <c r="I57" s="57">
        <f>Допущения!$D$67</f>
        <v>0.09</v>
      </c>
      <c r="J57" s="57">
        <f>Допущения!$D$67</f>
        <v>0.09</v>
      </c>
      <c r="K57" s="57">
        <f>Допущения!$D$67</f>
        <v>0.09</v>
      </c>
      <c r="L57" s="57">
        <f>Допущения!$D$67</f>
        <v>0.09</v>
      </c>
      <c r="M57" s="57">
        <f>Допущения!$D$67</f>
        <v>0.09</v>
      </c>
      <c r="N57" s="57">
        <f>Допущения!$D$67</f>
        <v>0.09</v>
      </c>
      <c r="O57" s="57">
        <f>Допущения!$D$67</f>
        <v>0.09</v>
      </c>
      <c r="P57" s="57">
        <f>Допущения!$D$67</f>
        <v>0.09</v>
      </c>
      <c r="Q57" s="57">
        <f>Допущения!$D$67</f>
        <v>0.09</v>
      </c>
      <c r="R57" s="57">
        <f>Допущения!$D$67</f>
        <v>0.09</v>
      </c>
      <c r="S57" s="57">
        <f>Допущения!$D$67</f>
        <v>0.09</v>
      </c>
      <c r="T57" s="57">
        <f>Допущения!$D$67</f>
        <v>0.09</v>
      </c>
      <c r="U57" s="57">
        <f>Допущения!$D$67</f>
        <v>0.09</v>
      </c>
      <c r="V57" s="57">
        <f>Допущения!$D$67</f>
        <v>0.09</v>
      </c>
      <c r="W57" s="57">
        <f>Допущения!$D$67</f>
        <v>0.09</v>
      </c>
    </row>
    <row r="58" spans="1:23" ht="12.5" customHeight="1" x14ac:dyDescent="0.25">
      <c r="A58" s="39" t="s">
        <v>161</v>
      </c>
      <c r="B58" s="43" t="s">
        <v>89</v>
      </c>
      <c r="C58" s="54"/>
      <c r="D58" s="54"/>
      <c r="E58" s="54"/>
      <c r="F58" s="54"/>
      <c r="G58" s="54"/>
      <c r="H58" s="49">
        <f t="shared" ref="H58:W58" si="13">AVERAGE(G54:H54)*H57/4</f>
        <v>133.59375</v>
      </c>
      <c r="I58" s="49">
        <f t="shared" si="13"/>
        <v>257.64508928571428</v>
      </c>
      <c r="J58" s="49">
        <f t="shared" si="13"/>
        <v>238.56026785714283</v>
      </c>
      <c r="K58" s="49">
        <f t="shared" si="13"/>
        <v>219.47544642857139</v>
      </c>
      <c r="L58" s="49">
        <f t="shared" si="13"/>
        <v>200.39062499999994</v>
      </c>
      <c r="M58" s="49">
        <f t="shared" si="13"/>
        <v>181.3058035714285</v>
      </c>
      <c r="N58" s="49">
        <f t="shared" si="13"/>
        <v>162.22098214285711</v>
      </c>
      <c r="O58" s="49">
        <f t="shared" si="13"/>
        <v>143.13616071428567</v>
      </c>
      <c r="P58" s="49">
        <f t="shared" si="13"/>
        <v>124.05133928571428</v>
      </c>
      <c r="Q58" s="49">
        <f t="shared" si="13"/>
        <v>104.96651785714283</v>
      </c>
      <c r="R58" s="49">
        <f t="shared" si="13"/>
        <v>85.881696428571416</v>
      </c>
      <c r="S58" s="49">
        <f t="shared" si="13"/>
        <v>66.796875</v>
      </c>
      <c r="T58" s="49">
        <f t="shared" si="13"/>
        <v>47.712053571428555</v>
      </c>
      <c r="U58" s="49">
        <f t="shared" si="13"/>
        <v>28.627232142857135</v>
      </c>
      <c r="V58" s="49">
        <f t="shared" si="13"/>
        <v>9.54241071428571</v>
      </c>
      <c r="W58" s="49">
        <f t="shared" si="13"/>
        <v>0</v>
      </c>
    </row>
    <row r="60" spans="1:23" s="35" customFormat="1" ht="13" customHeight="1" x14ac:dyDescent="0.3">
      <c r="A60" s="38" t="s">
        <v>162</v>
      </c>
      <c r="B60" s="59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</row>
    <row r="61" spans="1:23" s="54" customFormat="1" ht="12.5" customHeight="1" x14ac:dyDescent="0.25">
      <c r="A61" s="54" t="s">
        <v>163</v>
      </c>
      <c r="B61" s="54" t="s">
        <v>89</v>
      </c>
      <c r="G61" s="71">
        <f>(G12+G13)*Допущения!G14/1000+(G18+G19)*Допущения!G15/1000+G28</f>
        <v>0</v>
      </c>
      <c r="H61" s="71">
        <f>(H12+H13)*Допущения!H14/1000+(H18+H19)*Допущения!H15/1000+H28</f>
        <v>1836.0000000000002</v>
      </c>
      <c r="I61" s="71">
        <f>(I12+I13)*Допущения!I14/1000+(I18+I19)*Допущения!I15/1000+I28</f>
        <v>2197.8450000000003</v>
      </c>
      <c r="J61" s="71">
        <f>(J12+J13)*Допущения!J14/1000+(J18+J19)*Допущения!J15/1000+J28</f>
        <v>2573.4294000000004</v>
      </c>
      <c r="K61" s="71">
        <f>(K12+K13)*Допущения!K14/1000+(K18+K19)*Допущения!K15/1000+K28</f>
        <v>2963.1580380000005</v>
      </c>
      <c r="L61" s="71">
        <f>(L12+L13)*Допущения!L14/1000+(L18+L19)*Допущения!L15/1000+L28</f>
        <v>3764.915538912001</v>
      </c>
      <c r="M61" s="71">
        <f>(M12+M13)*Допущения!M14/1000+(M18+M19)*Допущения!M15/1000+M28</f>
        <v>4192.1396057102411</v>
      </c>
      <c r="N61" s="71">
        <f>(N12+N13)*Допущения!N14/1000+(N18+N19)*Допущения!N15/1000+N28</f>
        <v>4634.9466689648452</v>
      </c>
      <c r="O61" s="71">
        <f>(O12+O13)*Допущения!O14/1000+(O18+O19)*Допущения!O15/1000+O28</f>
        <v>4825.2838840943323</v>
      </c>
      <c r="P61" s="71">
        <f>(P12+P13)*Допущения!P14/1000+(P18+P19)*Допущения!P15/1000+P28</f>
        <v>5451.613933865443</v>
      </c>
      <c r="Q61" s="71">
        <f>(Q12+Q13)*Допущения!Q14/1000+(Q18+Q19)*Допущения!Q15/1000+Q28</f>
        <v>5560.6462125427515</v>
      </c>
      <c r="R61" s="71">
        <f>(R12+R13)*Допущения!R14/1000+(R18+R19)*Допущения!R15/1000+R28</f>
        <v>5671.8591367936069</v>
      </c>
      <c r="S61" s="71">
        <f>(S12+S13)*Допущения!S14/1000+(S18+S19)*Допущения!S15/1000+S28</f>
        <v>5785.2963195294797</v>
      </c>
      <c r="T61" s="71">
        <f>(T12+T13)*Допущения!T14/1000+(T18+T19)*Допущения!T15/1000+T28</f>
        <v>6366.7006328834359</v>
      </c>
      <c r="U61" s="71">
        <f>(U12+U13)*Допущения!U14/1000+(U18+U19)*Допущения!U15/1000+U28</f>
        <v>6494.0346455411045</v>
      </c>
      <c r="V61" s="71">
        <f>(V12+V13)*Допущения!V14/1000+(V18+V19)*Допущения!V15/1000+V28</f>
        <v>6623.9153384519268</v>
      </c>
      <c r="W61" s="71">
        <f>(W12+W13)*Допущения!W14/1000+(W18+W19)*Допущения!W15/1000+W28</f>
        <v>6756.3936452209655</v>
      </c>
    </row>
    <row r="62" spans="1:23" s="54" customFormat="1" ht="12.5" customHeight="1" x14ac:dyDescent="0.25">
      <c r="A62" s="54" t="s">
        <v>164</v>
      </c>
      <c r="B62" s="54" t="s">
        <v>89</v>
      </c>
      <c r="C62" s="54" t="s">
        <v>165</v>
      </c>
      <c r="G62" s="71">
        <f t="shared" ref="G62:W62" si="14">G25+G32-G61</f>
        <v>315</v>
      </c>
      <c r="H62" s="71">
        <f t="shared" si="14"/>
        <v>412.31249999999977</v>
      </c>
      <c r="I62" s="71">
        <f t="shared" si="14"/>
        <v>1746.1890085229493</v>
      </c>
      <c r="J62" s="71">
        <f t="shared" si="14"/>
        <v>3114.8279724569479</v>
      </c>
      <c r="K62" s="71">
        <f t="shared" si="14"/>
        <v>4518.941181632491</v>
      </c>
      <c r="L62" s="71">
        <f t="shared" si="14"/>
        <v>5974.3710989855772</v>
      </c>
      <c r="M62" s="71">
        <f t="shared" si="14"/>
        <v>7445.1213777942794</v>
      </c>
      <c r="N62" s="71">
        <f t="shared" si="14"/>
        <v>8951.3286012295757</v>
      </c>
      <c r="O62" s="71">
        <f t="shared" si="14"/>
        <v>9319.3655610605711</v>
      </c>
      <c r="P62" s="71">
        <f t="shared" si="14"/>
        <v>9709.2522206331141</v>
      </c>
      <c r="Q62" s="71">
        <f t="shared" si="14"/>
        <v>9823.8668634843525</v>
      </c>
      <c r="R62" s="71">
        <f t="shared" si="14"/>
        <v>9939.8478761698207</v>
      </c>
      <c r="S62" s="71">
        <f t="shared" si="14"/>
        <v>10057.211787149221</v>
      </c>
      <c r="T62" s="71">
        <f t="shared" si="14"/>
        <v>10199.260248557028</v>
      </c>
      <c r="U62" s="71">
        <f t="shared" si="14"/>
        <v>10319.906059803885</v>
      </c>
      <c r="V62" s="71">
        <f t="shared" si="14"/>
        <v>10441.994905114399</v>
      </c>
      <c r="W62" s="71">
        <f t="shared" si="14"/>
        <v>10565.544332316395</v>
      </c>
    </row>
    <row r="63" spans="1:23" s="54" customFormat="1" ht="12.5" customHeight="1" x14ac:dyDescent="0.25">
      <c r="A63" s="54" t="s">
        <v>166</v>
      </c>
      <c r="B63" s="54" t="s">
        <v>15</v>
      </c>
      <c r="G63" s="72">
        <f>Допущения!G71</f>
        <v>0.2</v>
      </c>
      <c r="H63" s="72">
        <f>Допущения!H71</f>
        <v>0.2</v>
      </c>
      <c r="I63" s="72">
        <f>Допущения!I71</f>
        <v>0.2</v>
      </c>
      <c r="J63" s="72">
        <f>Допущения!J71</f>
        <v>0.2</v>
      </c>
      <c r="K63" s="72">
        <f>Допущения!K71</f>
        <v>0.2</v>
      </c>
      <c r="L63" s="72">
        <f>Допущения!L71</f>
        <v>0.2</v>
      </c>
      <c r="M63" s="72">
        <f>Допущения!M71</f>
        <v>0.2</v>
      </c>
      <c r="N63" s="72">
        <f>Допущения!N71</f>
        <v>0.2</v>
      </c>
      <c r="O63" s="72">
        <f>Допущения!O71</f>
        <v>0.2</v>
      </c>
      <c r="P63" s="72">
        <f>Допущения!P71</f>
        <v>0.2</v>
      </c>
      <c r="Q63" s="72">
        <f>Допущения!Q71</f>
        <v>0.2</v>
      </c>
      <c r="R63" s="72">
        <f>Допущения!R71</f>
        <v>0.2</v>
      </c>
      <c r="S63" s="72">
        <f>Допущения!S71</f>
        <v>0.2</v>
      </c>
      <c r="T63" s="72">
        <f>Допущения!T71</f>
        <v>0.2</v>
      </c>
      <c r="U63" s="72">
        <f>Допущения!U71</f>
        <v>0.2</v>
      </c>
      <c r="V63" s="72">
        <f>Допущения!V71</f>
        <v>0.2</v>
      </c>
      <c r="W63" s="72">
        <f>Допущения!W71</f>
        <v>0.2</v>
      </c>
    </row>
    <row r="64" spans="1:23" s="54" customFormat="1" ht="12.5" customHeight="1" x14ac:dyDescent="0.25">
      <c r="A64" s="54" t="s">
        <v>167</v>
      </c>
      <c r="B64" s="54" t="s">
        <v>89</v>
      </c>
      <c r="G64" s="71">
        <f t="shared" ref="G64:W64" si="15">G7*G63</f>
        <v>0</v>
      </c>
      <c r="H64" s="71">
        <f t="shared" si="15"/>
        <v>0</v>
      </c>
      <c r="I64" s="71">
        <f t="shared" si="15"/>
        <v>538.35925000000009</v>
      </c>
      <c r="J64" s="71">
        <f t="shared" si="15"/>
        <v>1095.5610737500001</v>
      </c>
      <c r="K64" s="71">
        <f t="shared" si="15"/>
        <v>1672.1000888109384</v>
      </c>
      <c r="L64" s="71">
        <f t="shared" si="15"/>
        <v>2262.9087868574693</v>
      </c>
      <c r="M64" s="71">
        <f t="shared" si="15"/>
        <v>2871.0655233254138</v>
      </c>
      <c r="N64" s="71">
        <f t="shared" si="15"/>
        <v>3496.9578074103538</v>
      </c>
      <c r="O64" s="71">
        <f t="shared" si="15"/>
        <v>3685.9280273877212</v>
      </c>
      <c r="P64" s="71">
        <f t="shared" si="15"/>
        <v>3870.224428757107</v>
      </c>
      <c r="Q64" s="71">
        <f t="shared" si="15"/>
        <v>3918.6022341165699</v>
      </c>
      <c r="R64" s="71">
        <f t="shared" si="15"/>
        <v>3967.5847620430272</v>
      </c>
      <c r="S64" s="71">
        <f t="shared" si="15"/>
        <v>4017.1795715685644</v>
      </c>
      <c r="T64" s="71">
        <f t="shared" si="15"/>
        <v>4067.3943162131723</v>
      </c>
      <c r="U64" s="71">
        <f t="shared" si="15"/>
        <v>4118.2367451658365</v>
      </c>
      <c r="V64" s="71">
        <f t="shared" si="15"/>
        <v>4169.7147044804096</v>
      </c>
      <c r="W64" s="71">
        <f t="shared" si="15"/>
        <v>4221.8361382864141</v>
      </c>
    </row>
    <row r="65" spans="1:23" s="54" customFormat="1" ht="12.5" customHeight="1" x14ac:dyDescent="0.25">
      <c r="A65" s="54" t="s">
        <v>168</v>
      </c>
      <c r="B65" s="54" t="s">
        <v>89</v>
      </c>
      <c r="G65" s="71">
        <f t="shared" ref="G65:W65" si="16">-G62*G63</f>
        <v>-63</v>
      </c>
      <c r="H65" s="71">
        <f t="shared" si="16"/>
        <v>-82.462499999999963</v>
      </c>
      <c r="I65" s="71">
        <f t="shared" si="16"/>
        <v>-349.23780170458986</v>
      </c>
      <c r="J65" s="71">
        <f t="shared" si="16"/>
        <v>-622.96559449138965</v>
      </c>
      <c r="K65" s="71">
        <f t="shared" si="16"/>
        <v>-903.78823632649824</v>
      </c>
      <c r="L65" s="71">
        <f t="shared" si="16"/>
        <v>-1194.8742197971155</v>
      </c>
      <c r="M65" s="71">
        <f t="shared" si="16"/>
        <v>-1489.0242755588561</v>
      </c>
      <c r="N65" s="71">
        <f t="shared" si="16"/>
        <v>-1790.2657202459152</v>
      </c>
      <c r="O65" s="71">
        <f t="shared" si="16"/>
        <v>-1863.8731122121144</v>
      </c>
      <c r="P65" s="71">
        <f t="shared" si="16"/>
        <v>-1941.850444126623</v>
      </c>
      <c r="Q65" s="71">
        <f t="shared" si="16"/>
        <v>-1964.7733726968706</v>
      </c>
      <c r="R65" s="71">
        <f t="shared" si="16"/>
        <v>-1987.9695752339642</v>
      </c>
      <c r="S65" s="71">
        <f t="shared" si="16"/>
        <v>-2011.4423574298444</v>
      </c>
      <c r="T65" s="71">
        <f t="shared" si="16"/>
        <v>-2039.8520497114057</v>
      </c>
      <c r="U65" s="71">
        <f t="shared" si="16"/>
        <v>-2063.9812119607773</v>
      </c>
      <c r="V65" s="71">
        <f t="shared" si="16"/>
        <v>-2088.39898102288</v>
      </c>
      <c r="W65" s="71">
        <f t="shared" si="16"/>
        <v>-2113.1088664632789</v>
      </c>
    </row>
    <row r="66" spans="1:23" s="54" customFormat="1" ht="12.5" customHeight="1" x14ac:dyDescent="0.25">
      <c r="A66" s="54" t="s">
        <v>169</v>
      </c>
      <c r="B66" s="54" t="s">
        <v>89</v>
      </c>
      <c r="G66" s="71">
        <f t="shared" ref="G66:W66" si="17">-G48*G63</f>
        <v>0</v>
      </c>
      <c r="H66" s="71">
        <f t="shared" si="17"/>
        <v>-2500</v>
      </c>
      <c r="I66" s="71">
        <f t="shared" si="17"/>
        <v>-125</v>
      </c>
      <c r="J66" s="71">
        <f t="shared" si="17"/>
        <v>-131.25</v>
      </c>
      <c r="K66" s="71">
        <f t="shared" si="17"/>
        <v>-137.8125</v>
      </c>
      <c r="L66" s="71">
        <f t="shared" si="17"/>
        <v>-144.703125</v>
      </c>
      <c r="M66" s="71">
        <f t="shared" si="17"/>
        <v>-151.93828125000002</v>
      </c>
      <c r="N66" s="71">
        <f t="shared" si="17"/>
        <v>-159.53519531249987</v>
      </c>
      <c r="O66" s="71">
        <f t="shared" si="17"/>
        <v>-167.5119550781252</v>
      </c>
      <c r="P66" s="71">
        <f t="shared" si="17"/>
        <v>-175.88755283203136</v>
      </c>
      <c r="Q66" s="71">
        <f t="shared" si="17"/>
        <v>-184.68193047363312</v>
      </c>
      <c r="R66" s="71">
        <f t="shared" si="17"/>
        <v>-193.91602699731448</v>
      </c>
      <c r="S66" s="71">
        <f t="shared" si="17"/>
        <v>-203.61182834718056</v>
      </c>
      <c r="T66" s="71">
        <f t="shared" si="17"/>
        <v>-213.79241976453923</v>
      </c>
      <c r="U66" s="71">
        <f t="shared" si="17"/>
        <v>-224.4820407527659</v>
      </c>
      <c r="V66" s="71">
        <f t="shared" si="17"/>
        <v>-235.70614279040456</v>
      </c>
      <c r="W66" s="71">
        <f t="shared" si="17"/>
        <v>-247.49144992992444</v>
      </c>
    </row>
    <row r="67" spans="1:23" s="54" customFormat="1" ht="12.5" customHeight="1" x14ac:dyDescent="0.25">
      <c r="A67" s="54" t="s">
        <v>170</v>
      </c>
      <c r="B67" s="54" t="s">
        <v>89</v>
      </c>
      <c r="C67" s="54" t="s">
        <v>171</v>
      </c>
      <c r="G67" s="71">
        <v>0</v>
      </c>
      <c r="H67" s="71">
        <v>0</v>
      </c>
      <c r="I67" s="71">
        <v>0</v>
      </c>
      <c r="J67" s="71">
        <f t="shared" ref="J67:W67" si="18">-H66</f>
        <v>2500</v>
      </c>
      <c r="K67" s="71">
        <f t="shared" si="18"/>
        <v>125</v>
      </c>
      <c r="L67" s="71">
        <f t="shared" si="18"/>
        <v>131.25</v>
      </c>
      <c r="M67" s="71">
        <f t="shared" si="18"/>
        <v>137.8125</v>
      </c>
      <c r="N67" s="71">
        <f t="shared" si="18"/>
        <v>144.703125</v>
      </c>
      <c r="O67" s="71">
        <f t="shared" si="18"/>
        <v>151.93828125000002</v>
      </c>
      <c r="P67" s="71">
        <f t="shared" si="18"/>
        <v>159.53519531249987</v>
      </c>
      <c r="Q67" s="71">
        <f t="shared" si="18"/>
        <v>167.5119550781252</v>
      </c>
      <c r="R67" s="71">
        <f t="shared" si="18"/>
        <v>175.88755283203136</v>
      </c>
      <c r="S67" s="71">
        <f t="shared" si="18"/>
        <v>184.68193047363312</v>
      </c>
      <c r="T67" s="71">
        <f t="shared" si="18"/>
        <v>193.91602699731448</v>
      </c>
      <c r="U67" s="71">
        <f t="shared" si="18"/>
        <v>203.61182834718056</v>
      </c>
      <c r="V67" s="71">
        <f t="shared" si="18"/>
        <v>213.79241976453923</v>
      </c>
      <c r="W67" s="71">
        <f t="shared" si="18"/>
        <v>224.4820407527659</v>
      </c>
    </row>
    <row r="68" spans="1:23" s="54" customFormat="1" ht="13" customHeight="1" x14ac:dyDescent="0.3">
      <c r="A68" s="54" t="s">
        <v>172</v>
      </c>
      <c r="B68" s="54" t="s">
        <v>89</v>
      </c>
      <c r="C68" s="54" t="s">
        <v>173</v>
      </c>
      <c r="G68" s="73">
        <f t="shared" ref="G68:W68" si="19">SUM(G64:G67)</f>
        <v>-63</v>
      </c>
      <c r="H68" s="73">
        <f t="shared" si="19"/>
        <v>-2582.4625000000001</v>
      </c>
      <c r="I68" s="73">
        <f t="shared" si="19"/>
        <v>64.121448295410232</v>
      </c>
      <c r="J68" s="73">
        <f t="shared" si="19"/>
        <v>2841.3454792586103</v>
      </c>
      <c r="K68" s="73">
        <f t="shared" si="19"/>
        <v>755.49935248444012</v>
      </c>
      <c r="L68" s="73">
        <f t="shared" si="19"/>
        <v>1054.5814420603538</v>
      </c>
      <c r="M68" s="73">
        <f t="shared" si="19"/>
        <v>1367.9154665165577</v>
      </c>
      <c r="N68" s="73">
        <f t="shared" si="19"/>
        <v>1691.8600168519388</v>
      </c>
      <c r="O68" s="73">
        <f t="shared" si="19"/>
        <v>1806.4812413474817</v>
      </c>
      <c r="P68" s="73">
        <f t="shared" si="19"/>
        <v>1912.0216271109525</v>
      </c>
      <c r="Q68" s="73">
        <f t="shared" si="19"/>
        <v>1936.6588860241914</v>
      </c>
      <c r="R68" s="73">
        <f t="shared" si="19"/>
        <v>1961.5867126437799</v>
      </c>
      <c r="S68" s="73">
        <f t="shared" si="19"/>
        <v>1986.8073162651726</v>
      </c>
      <c r="T68" s="73">
        <f t="shared" si="19"/>
        <v>2007.6658737345417</v>
      </c>
      <c r="U68" s="73">
        <f t="shared" si="19"/>
        <v>2033.3853207994739</v>
      </c>
      <c r="V68" s="73">
        <f t="shared" si="19"/>
        <v>2059.4020004316644</v>
      </c>
      <c r="W68" s="73">
        <f t="shared" si="19"/>
        <v>2085.7178626459768</v>
      </c>
    </row>
    <row r="69" spans="1:23" s="54" customFormat="1" ht="12.5" customHeight="1" x14ac:dyDescent="0.25">
      <c r="A69" s="54" t="s">
        <v>174</v>
      </c>
      <c r="B69" s="54" t="s">
        <v>89</v>
      </c>
      <c r="C69" s="54" t="s">
        <v>175</v>
      </c>
      <c r="G69" s="71">
        <f>Допущения!$G$77</f>
        <v>0</v>
      </c>
      <c r="H69" s="71">
        <f t="shared" ref="H69:W69" si="20">MAX(G69-H68,0)</f>
        <v>2582.4625000000001</v>
      </c>
      <c r="I69" s="71">
        <f t="shared" si="20"/>
        <v>2518.34105170459</v>
      </c>
      <c r="J69" s="71">
        <f t="shared" si="20"/>
        <v>0</v>
      </c>
      <c r="K69" s="71">
        <f t="shared" si="20"/>
        <v>0</v>
      </c>
      <c r="L69" s="71">
        <f t="shared" si="20"/>
        <v>0</v>
      </c>
      <c r="M69" s="71">
        <f t="shared" si="20"/>
        <v>0</v>
      </c>
      <c r="N69" s="71">
        <f t="shared" si="20"/>
        <v>0</v>
      </c>
      <c r="O69" s="71">
        <f t="shared" si="20"/>
        <v>0</v>
      </c>
      <c r="P69" s="71">
        <f t="shared" si="20"/>
        <v>0</v>
      </c>
      <c r="Q69" s="71">
        <f t="shared" si="20"/>
        <v>0</v>
      </c>
      <c r="R69" s="71">
        <f t="shared" si="20"/>
        <v>0</v>
      </c>
      <c r="S69" s="71">
        <f t="shared" si="20"/>
        <v>0</v>
      </c>
      <c r="T69" s="71">
        <f t="shared" si="20"/>
        <v>0</v>
      </c>
      <c r="U69" s="71">
        <f t="shared" si="20"/>
        <v>0</v>
      </c>
      <c r="V69" s="71">
        <f t="shared" si="20"/>
        <v>0</v>
      </c>
      <c r="W69" s="71">
        <f t="shared" si="20"/>
        <v>0</v>
      </c>
    </row>
  </sheetData>
  <mergeCells count="7">
    <mergeCell ref="A1:A2"/>
    <mergeCell ref="C1:C2"/>
    <mergeCell ref="B1:B2"/>
    <mergeCell ref="T1:W1"/>
    <mergeCell ref="H1:K1"/>
    <mergeCell ref="L1:O1"/>
    <mergeCell ref="P1:S1"/>
  </mergeCells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62"/>
  <sheetViews>
    <sheetView workbookViewId="0"/>
  </sheetViews>
  <sheetFormatPr defaultColWidth="12.6328125" defaultRowHeight="15.75" customHeight="1" x14ac:dyDescent="0.25"/>
  <cols>
    <col min="1" max="1" width="58.453125" style="8" customWidth="1"/>
    <col min="2" max="2" width="7.453125" style="8" customWidth="1"/>
    <col min="3" max="3" width="14.08984375" style="8" customWidth="1"/>
    <col min="5" max="6" width="3.6328125" style="8" customWidth="1"/>
  </cols>
  <sheetData>
    <row r="1" spans="1:23" ht="15.75" customHeight="1" x14ac:dyDescent="0.35">
      <c r="A1" s="157" t="s">
        <v>0</v>
      </c>
      <c r="B1" s="157" t="s">
        <v>1</v>
      </c>
      <c r="C1" s="157" t="s">
        <v>2</v>
      </c>
      <c r="D1" s="4"/>
      <c r="E1" s="1"/>
      <c r="F1" s="1"/>
      <c r="G1" s="120" t="s">
        <v>4</v>
      </c>
      <c r="H1" s="120" t="s">
        <v>5</v>
      </c>
      <c r="I1" s="60" t="s">
        <v>5</v>
      </c>
      <c r="J1" s="60" t="s">
        <v>5</v>
      </c>
      <c r="K1" s="60" t="s">
        <v>5</v>
      </c>
      <c r="L1" s="120" t="s">
        <v>6</v>
      </c>
      <c r="M1" s="60" t="s">
        <v>6</v>
      </c>
      <c r="N1" s="60" t="s">
        <v>6</v>
      </c>
      <c r="O1" s="60" t="s">
        <v>6</v>
      </c>
      <c r="P1" s="120" t="s">
        <v>7</v>
      </c>
      <c r="Q1" s="60" t="s">
        <v>7</v>
      </c>
      <c r="R1" s="60" t="s">
        <v>7</v>
      </c>
      <c r="S1" s="60" t="s">
        <v>7</v>
      </c>
      <c r="T1" s="120" t="s">
        <v>8</v>
      </c>
      <c r="U1" s="60" t="s">
        <v>8</v>
      </c>
      <c r="V1" s="60" t="s">
        <v>8</v>
      </c>
      <c r="W1" s="60" t="s">
        <v>8</v>
      </c>
    </row>
    <row r="2" spans="1:23" ht="15.75" customHeight="1" x14ac:dyDescent="0.35">
      <c r="A2" s="158"/>
      <c r="B2" s="158"/>
      <c r="C2" s="158"/>
      <c r="D2" s="4"/>
      <c r="E2" s="1"/>
      <c r="F2" s="1"/>
      <c r="G2" s="119" t="s">
        <v>9</v>
      </c>
      <c r="H2" s="119" t="s">
        <v>10</v>
      </c>
      <c r="I2" s="119" t="s">
        <v>11</v>
      </c>
      <c r="J2" s="119" t="s">
        <v>12</v>
      </c>
      <c r="K2" s="119" t="s">
        <v>9</v>
      </c>
      <c r="L2" s="119" t="s">
        <v>10</v>
      </c>
      <c r="M2" s="119" t="s">
        <v>11</v>
      </c>
      <c r="N2" s="119" t="s">
        <v>12</v>
      </c>
      <c r="O2" s="119" t="s">
        <v>9</v>
      </c>
      <c r="P2" s="119" t="s">
        <v>10</v>
      </c>
      <c r="Q2" s="119" t="s">
        <v>11</v>
      </c>
      <c r="R2" s="119" t="s">
        <v>12</v>
      </c>
      <c r="S2" s="119" t="s">
        <v>9</v>
      </c>
      <c r="T2" s="119" t="s">
        <v>10</v>
      </c>
      <c r="U2" s="119" t="s">
        <v>11</v>
      </c>
      <c r="V2" s="119" t="s">
        <v>12</v>
      </c>
      <c r="W2" s="119" t="s">
        <v>9</v>
      </c>
    </row>
    <row r="3" spans="1:23" ht="15.75" customHeight="1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</row>
    <row r="4" spans="1:23" ht="15.75" customHeight="1" x14ac:dyDescent="0.3">
      <c r="A4" s="63" t="s">
        <v>176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</row>
    <row r="5" spans="1:23" ht="15.75" customHeight="1" x14ac:dyDescent="0.25">
      <c r="A5" s="65" t="s">
        <v>177</v>
      </c>
      <c r="B5" s="66" t="s">
        <v>89</v>
      </c>
      <c r="C5" s="65"/>
      <c r="D5" s="67"/>
      <c r="E5" s="62"/>
      <c r="F5" s="62"/>
      <c r="G5" s="67"/>
      <c r="H5" s="68">
        <f>Расчеты!H7</f>
        <v>0</v>
      </c>
      <c r="I5" s="68">
        <f>Расчеты!I7</f>
        <v>2691.7962500000003</v>
      </c>
      <c r="J5" s="68">
        <f>Расчеты!J7</f>
        <v>5477.8053687500005</v>
      </c>
      <c r="K5" s="68">
        <f>Расчеты!K7</f>
        <v>8360.5004440546909</v>
      </c>
      <c r="L5" s="68">
        <f>Расчеты!L7</f>
        <v>11314.543934287345</v>
      </c>
      <c r="M5" s="68">
        <f>Расчеты!M7</f>
        <v>14355.327616627068</v>
      </c>
      <c r="N5" s="68">
        <f>Расчеты!N7</f>
        <v>17484.789037051767</v>
      </c>
      <c r="O5" s="68">
        <f>Расчеты!O7</f>
        <v>18429.640136938604</v>
      </c>
      <c r="P5" s="68">
        <f>Расчеты!P7</f>
        <v>19351.122143785535</v>
      </c>
      <c r="Q5" s="68">
        <f>Расчеты!Q7</f>
        <v>19593.011170582849</v>
      </c>
      <c r="R5" s="68">
        <f>Расчеты!R7</f>
        <v>19837.923810215136</v>
      </c>
      <c r="S5" s="68">
        <f>Расчеты!S7</f>
        <v>20085.897857842821</v>
      </c>
      <c r="T5" s="68">
        <f>Расчеты!T7</f>
        <v>20336.97158106586</v>
      </c>
      <c r="U5" s="68">
        <f>Расчеты!U7</f>
        <v>20591.183725829182</v>
      </c>
      <c r="V5" s="68">
        <f>Расчеты!V7</f>
        <v>20848.573522402046</v>
      </c>
      <c r="W5" s="68">
        <f>Расчеты!W7</f>
        <v>21109.18069143207</v>
      </c>
    </row>
    <row r="6" spans="1:23" ht="15.75" customHeight="1" x14ac:dyDescent="0.25">
      <c r="A6" s="65" t="s">
        <v>178</v>
      </c>
      <c r="B6" s="66" t="s">
        <v>89</v>
      </c>
      <c r="C6" s="65"/>
      <c r="D6" s="67"/>
      <c r="E6" s="62"/>
      <c r="F6" s="62"/>
      <c r="G6" s="67"/>
      <c r="H6" s="68">
        <f>-Расчеты!H25</f>
        <v>0</v>
      </c>
      <c r="I6" s="68">
        <f>-Расчеты!I25</f>
        <v>-1651.5565397729492</v>
      </c>
      <c r="J6" s="68">
        <f>-Расчеты!J25</f>
        <v>-3350.7456580038229</v>
      </c>
      <c r="K6" s="68">
        <f>-Расчеты!K25</f>
        <v>-5098.6668423764359</v>
      </c>
      <c r="L6" s="68">
        <f>-Расчеты!L25</f>
        <v>-6892.5312474610801</v>
      </c>
      <c r="M6" s="68">
        <f>-Расчеты!M25</f>
        <v>-8735.2839859031883</v>
      </c>
      <c r="N6" s="68">
        <f>-Расчеты!N25</f>
        <v>-10627.997935794616</v>
      </c>
      <c r="O6" s="68">
        <f>-Расчеты!O25</f>
        <v>-11128.971855267959</v>
      </c>
      <c r="P6" s="68">
        <f>-Расчеты!P25</f>
        <v>-11635.817677727942</v>
      </c>
      <c r="Q6" s="68">
        <f>-Расчеты!Q25</f>
        <v>-11791.684881272547</v>
      </c>
      <c r="R6" s="68">
        <f>-Расчеты!R25</f>
        <v>-11949.777521509643</v>
      </c>
      <c r="S6" s="68">
        <f>-Расчеты!S25</f>
        <v>-12110.129733431651</v>
      </c>
      <c r="T6" s="68">
        <f>-Расчеты!T25</f>
        <v>-12272.776213803199</v>
      </c>
      <c r="U6" s="68">
        <f>-Расчеты!U25</f>
        <v>-12437.752230983566</v>
      </c>
      <c r="V6" s="68">
        <f>-Расчеты!V25</f>
        <v>-12605.093634929119</v>
      </c>
      <c r="W6" s="68">
        <f>-Расчеты!W25</f>
        <v>-12774.836867378997</v>
      </c>
    </row>
    <row r="7" spans="1:23" ht="15.75" customHeight="1" x14ac:dyDescent="0.3">
      <c r="A7" s="69" t="s">
        <v>179</v>
      </c>
      <c r="B7" s="66" t="s">
        <v>89</v>
      </c>
      <c r="C7" s="65"/>
      <c r="D7" s="67"/>
      <c r="E7" s="62"/>
      <c r="F7" s="62"/>
      <c r="G7" s="67"/>
      <c r="H7" s="70">
        <f t="shared" ref="H7:W7" si="0">H5+H6</f>
        <v>0</v>
      </c>
      <c r="I7" s="70">
        <f t="shared" si="0"/>
        <v>1040.2397102270511</v>
      </c>
      <c r="J7" s="70">
        <f t="shared" si="0"/>
        <v>2127.0597107461776</v>
      </c>
      <c r="K7" s="70">
        <f t="shared" si="0"/>
        <v>3261.833601678255</v>
      </c>
      <c r="L7" s="70">
        <f t="shared" si="0"/>
        <v>4422.0126868262651</v>
      </c>
      <c r="M7" s="70">
        <f t="shared" si="0"/>
        <v>5620.0436307238797</v>
      </c>
      <c r="N7" s="70">
        <f t="shared" si="0"/>
        <v>6856.7911012571512</v>
      </c>
      <c r="O7" s="70">
        <f t="shared" si="0"/>
        <v>7300.6682816706452</v>
      </c>
      <c r="P7" s="70">
        <f t="shared" si="0"/>
        <v>7715.3044660575924</v>
      </c>
      <c r="Q7" s="70">
        <f t="shared" si="0"/>
        <v>7801.3262893103019</v>
      </c>
      <c r="R7" s="70">
        <f t="shared" si="0"/>
        <v>7888.1462887054931</v>
      </c>
      <c r="S7" s="70">
        <f t="shared" si="0"/>
        <v>7975.76812441117</v>
      </c>
      <c r="T7" s="70">
        <f t="shared" si="0"/>
        <v>8064.1953672626605</v>
      </c>
      <c r="U7" s="70">
        <f t="shared" si="0"/>
        <v>8153.4314948456158</v>
      </c>
      <c r="V7" s="70">
        <f t="shared" si="0"/>
        <v>8243.4798874729277</v>
      </c>
      <c r="W7" s="70">
        <f t="shared" si="0"/>
        <v>8334.3438240530722</v>
      </c>
    </row>
    <row r="8" spans="1:23" ht="15.75" customHeight="1" x14ac:dyDescent="0.25">
      <c r="A8" s="65" t="s">
        <v>180</v>
      </c>
      <c r="B8" s="66" t="s">
        <v>89</v>
      </c>
      <c r="C8" s="65"/>
      <c r="D8" s="67"/>
      <c r="E8" s="62"/>
      <c r="F8" s="62"/>
      <c r="G8" s="67"/>
      <c r="H8" s="68">
        <f>-Расчеты!H32</f>
        <v>-2248.3125</v>
      </c>
      <c r="I8" s="68">
        <f>-Расчеты!I32</f>
        <v>-2292.4774687500003</v>
      </c>
      <c r="J8" s="68">
        <f>-Расчеты!J32</f>
        <v>-2337.5117144531255</v>
      </c>
      <c r="K8" s="68">
        <f>-Расчеты!K32</f>
        <v>-2383.4323772560551</v>
      </c>
      <c r="L8" s="68">
        <f>-Расчеты!L32</f>
        <v>-2846.7553904364968</v>
      </c>
      <c r="M8" s="68">
        <f>-Расчеты!M32</f>
        <v>-2901.9769976013317</v>
      </c>
      <c r="N8" s="68">
        <f>-Расчеты!N32</f>
        <v>-2958.2773343998051</v>
      </c>
      <c r="O8" s="68">
        <f>-Расчеты!O32</f>
        <v>-3015.677589886946</v>
      </c>
      <c r="P8" s="68">
        <f>-Расчеты!P32</f>
        <v>-3525.0484767706143</v>
      </c>
      <c r="Q8" s="68">
        <f>-Расчеты!Q32</f>
        <v>-3592.8281947545565</v>
      </c>
      <c r="R8" s="68">
        <f>-Расчеты!R32</f>
        <v>-3661.929491453785</v>
      </c>
      <c r="S8" s="68">
        <f>-Расчеты!S32</f>
        <v>-3732.3783732470492</v>
      </c>
      <c r="T8" s="68">
        <f>-Расчеты!T32</f>
        <v>-4293.1846676372661</v>
      </c>
      <c r="U8" s="68">
        <f>-Расчеты!U32</f>
        <v>-4376.1884743614237</v>
      </c>
      <c r="V8" s="68">
        <f>-Расчеты!V32</f>
        <v>-4460.8166086372075</v>
      </c>
      <c r="W8" s="68">
        <f>-Расчеты!W32</f>
        <v>-4547.1011101583636</v>
      </c>
    </row>
    <row r="9" spans="1:23" ht="15.75" customHeight="1" x14ac:dyDescent="0.3">
      <c r="A9" s="69" t="s">
        <v>181</v>
      </c>
      <c r="B9" s="66" t="s">
        <v>89</v>
      </c>
      <c r="C9" s="65"/>
      <c r="D9" s="67"/>
      <c r="E9" s="62"/>
      <c r="F9" s="62"/>
      <c r="G9" s="67"/>
      <c r="H9" s="70">
        <f t="shared" ref="H9:W9" si="1">H7+H8</f>
        <v>-2248.3125</v>
      </c>
      <c r="I9" s="70">
        <f t="shared" si="1"/>
        <v>-1252.2377585229492</v>
      </c>
      <c r="J9" s="70">
        <f t="shared" si="1"/>
        <v>-210.45200370694783</v>
      </c>
      <c r="K9" s="70">
        <f t="shared" si="1"/>
        <v>878.4012244221999</v>
      </c>
      <c r="L9" s="70">
        <f t="shared" si="1"/>
        <v>1575.2572963897683</v>
      </c>
      <c r="M9" s="70">
        <f t="shared" si="1"/>
        <v>2718.066633122548</v>
      </c>
      <c r="N9" s="70">
        <f t="shared" si="1"/>
        <v>3898.5137668573461</v>
      </c>
      <c r="O9" s="70">
        <f t="shared" si="1"/>
        <v>4284.9906917836997</v>
      </c>
      <c r="P9" s="70">
        <f t="shared" si="1"/>
        <v>4190.2559892869776</v>
      </c>
      <c r="Q9" s="70">
        <f t="shared" si="1"/>
        <v>4208.4980945557454</v>
      </c>
      <c r="R9" s="70">
        <f t="shared" si="1"/>
        <v>4226.2167972517082</v>
      </c>
      <c r="S9" s="70">
        <f t="shared" si="1"/>
        <v>4243.3897511641208</v>
      </c>
      <c r="T9" s="70">
        <f t="shared" si="1"/>
        <v>3771.0106996253944</v>
      </c>
      <c r="U9" s="70">
        <f t="shared" si="1"/>
        <v>3777.2430204841921</v>
      </c>
      <c r="V9" s="70">
        <f t="shared" si="1"/>
        <v>3782.6632788357201</v>
      </c>
      <c r="W9" s="70">
        <f t="shared" si="1"/>
        <v>3787.2427138947087</v>
      </c>
    </row>
    <row r="10" spans="1:23" ht="15.75" customHeight="1" x14ac:dyDescent="0.25">
      <c r="A10" s="65" t="s">
        <v>153</v>
      </c>
      <c r="B10" s="66" t="s">
        <v>89</v>
      </c>
      <c r="C10" s="65"/>
      <c r="D10" s="67"/>
      <c r="E10" s="62"/>
      <c r="F10" s="62"/>
      <c r="G10" s="67"/>
      <c r="H10" s="68">
        <f>-Расчеты!H46</f>
        <v>0</v>
      </c>
      <c r="I10" s="68">
        <f>-Расчеты!I46</f>
        <v>-1041.6666666666667</v>
      </c>
      <c r="J10" s="68">
        <f>-Расчеты!J46</f>
        <v>-1093.75</v>
      </c>
      <c r="K10" s="68">
        <f>-Расчеты!K46</f>
        <v>-1148.4375</v>
      </c>
      <c r="L10" s="68">
        <f>-Расчеты!L46</f>
        <v>-1205.859375</v>
      </c>
      <c r="M10" s="68">
        <f>-Расчеты!M46</f>
        <v>-1266.15234375</v>
      </c>
      <c r="N10" s="68">
        <f>-Расчеты!N46</f>
        <v>-1329.4599609375</v>
      </c>
      <c r="O10" s="68">
        <f>-Расчеты!O46</f>
        <v>-1395.9329589843749</v>
      </c>
      <c r="P10" s="68">
        <f>-Расчеты!P46</f>
        <v>-1465.7296069335937</v>
      </c>
      <c r="Q10" s="68">
        <f>-Расчеты!Q46</f>
        <v>-1539.0160872802735</v>
      </c>
      <c r="R10" s="68">
        <f>-Расчеты!R46</f>
        <v>-1615.9668916442872</v>
      </c>
      <c r="S10" s="68">
        <f>-Расчеты!S46</f>
        <v>-1696.7652362265017</v>
      </c>
      <c r="T10" s="68">
        <f>-Расчеты!T46</f>
        <v>-1781.603498037827</v>
      </c>
      <c r="U10" s="68">
        <f>-Расчеты!U46</f>
        <v>-1870.6836729397182</v>
      </c>
      <c r="V10" s="68">
        <f>-Расчеты!V46</f>
        <v>-1964.2178565867041</v>
      </c>
      <c r="W10" s="68">
        <f>-Расчеты!W46</f>
        <v>-2062.4287494160394</v>
      </c>
    </row>
    <row r="11" spans="1:23" ht="15.75" customHeight="1" x14ac:dyDescent="0.3">
      <c r="A11" s="69" t="s">
        <v>182</v>
      </c>
      <c r="B11" s="66" t="s">
        <v>89</v>
      </c>
      <c r="C11" s="65"/>
      <c r="D11" s="67"/>
      <c r="E11" s="62"/>
      <c r="F11" s="62"/>
      <c r="G11" s="67"/>
      <c r="H11" s="70">
        <f t="shared" ref="H11:W11" si="2">H9+H10</f>
        <v>-2248.3125</v>
      </c>
      <c r="I11" s="70">
        <f t="shared" si="2"/>
        <v>-2293.9044251896157</v>
      </c>
      <c r="J11" s="70">
        <f t="shared" si="2"/>
        <v>-1304.2020037069478</v>
      </c>
      <c r="K11" s="70">
        <f t="shared" si="2"/>
        <v>-270.0362755778001</v>
      </c>
      <c r="L11" s="70">
        <f t="shared" si="2"/>
        <v>369.39792138976827</v>
      </c>
      <c r="M11" s="70">
        <f t="shared" si="2"/>
        <v>1451.914289372548</v>
      </c>
      <c r="N11" s="70">
        <f t="shared" si="2"/>
        <v>2569.0538059198461</v>
      </c>
      <c r="O11" s="70">
        <f t="shared" si="2"/>
        <v>2889.0577327993251</v>
      </c>
      <c r="P11" s="70">
        <f t="shared" si="2"/>
        <v>2724.5263823533842</v>
      </c>
      <c r="Q11" s="70">
        <f t="shared" si="2"/>
        <v>2669.4820072754719</v>
      </c>
      <c r="R11" s="70">
        <f t="shared" si="2"/>
        <v>2610.2499056074212</v>
      </c>
      <c r="S11" s="70">
        <f t="shared" si="2"/>
        <v>2546.6245149376191</v>
      </c>
      <c r="T11" s="70">
        <f t="shared" si="2"/>
        <v>1989.4072015875674</v>
      </c>
      <c r="U11" s="70">
        <f t="shared" si="2"/>
        <v>1906.5593475444739</v>
      </c>
      <c r="V11" s="70">
        <f t="shared" si="2"/>
        <v>1818.445422249016</v>
      </c>
      <c r="W11" s="70">
        <f t="shared" si="2"/>
        <v>1724.8139644786693</v>
      </c>
    </row>
    <row r="12" spans="1:23" ht="15.75" customHeight="1" x14ac:dyDescent="0.25">
      <c r="A12" s="65" t="s">
        <v>183</v>
      </c>
      <c r="B12" s="66" t="s">
        <v>89</v>
      </c>
      <c r="C12" s="65"/>
      <c r="D12" s="67"/>
      <c r="E12" s="62"/>
      <c r="F12" s="62"/>
      <c r="G12" s="67"/>
      <c r="H12" s="68">
        <f>-Расчеты!H58</f>
        <v>-133.59375</v>
      </c>
      <c r="I12" s="68">
        <f>-Расчеты!I58</f>
        <v>-257.64508928571428</v>
      </c>
      <c r="J12" s="68">
        <f>-Расчеты!J58</f>
        <v>-238.56026785714283</v>
      </c>
      <c r="K12" s="68">
        <f>-Расчеты!K58</f>
        <v>-219.47544642857139</v>
      </c>
      <c r="L12" s="68">
        <f>-Расчеты!L58</f>
        <v>-200.39062499999994</v>
      </c>
      <c r="M12" s="68">
        <f>-Расчеты!M58</f>
        <v>-181.3058035714285</v>
      </c>
      <c r="N12" s="68">
        <f>-Расчеты!N58</f>
        <v>-162.22098214285711</v>
      </c>
      <c r="O12" s="68">
        <f>-Расчеты!O58</f>
        <v>-143.13616071428567</v>
      </c>
      <c r="P12" s="68">
        <f>-Расчеты!P58</f>
        <v>-124.05133928571428</v>
      </c>
      <c r="Q12" s="68">
        <f>-Расчеты!Q58</f>
        <v>-104.96651785714283</v>
      </c>
      <c r="R12" s="68">
        <f>-Расчеты!R58</f>
        <v>-85.881696428571416</v>
      </c>
      <c r="S12" s="68">
        <f>-Расчеты!S58</f>
        <v>-66.796875</v>
      </c>
      <c r="T12" s="68">
        <f>-Расчеты!T58</f>
        <v>-47.712053571428555</v>
      </c>
      <c r="U12" s="68">
        <f>-Расчеты!U58</f>
        <v>-28.627232142857135</v>
      </c>
      <c r="V12" s="68">
        <f>-Расчеты!V58</f>
        <v>-9.54241071428571</v>
      </c>
      <c r="W12" s="68">
        <f>-Расчеты!W58</f>
        <v>0</v>
      </c>
    </row>
    <row r="13" spans="1:23" ht="15.75" customHeight="1" x14ac:dyDescent="0.3">
      <c r="A13" s="69" t="s">
        <v>184</v>
      </c>
      <c r="B13" s="66" t="s">
        <v>89</v>
      </c>
      <c r="C13" s="65"/>
      <c r="D13" s="67"/>
      <c r="E13" s="62"/>
      <c r="F13" s="62"/>
      <c r="G13" s="67"/>
      <c r="H13" s="70">
        <f t="shared" ref="H13:W13" si="3">H11+H12</f>
        <v>-2381.90625</v>
      </c>
      <c r="I13" s="70">
        <f t="shared" si="3"/>
        <v>-2551.5495144753299</v>
      </c>
      <c r="J13" s="70">
        <f t="shared" si="3"/>
        <v>-1542.7622715640907</v>
      </c>
      <c r="K13" s="70">
        <f t="shared" si="3"/>
        <v>-489.51172200637149</v>
      </c>
      <c r="L13" s="70">
        <f t="shared" si="3"/>
        <v>169.00729638976833</v>
      </c>
      <c r="M13" s="70">
        <f t="shared" si="3"/>
        <v>1270.6084858011195</v>
      </c>
      <c r="N13" s="70">
        <f t="shared" si="3"/>
        <v>2406.8328237769892</v>
      </c>
      <c r="O13" s="70">
        <f t="shared" si="3"/>
        <v>2745.9215720850393</v>
      </c>
      <c r="P13" s="70">
        <f t="shared" si="3"/>
        <v>2600.47504306767</v>
      </c>
      <c r="Q13" s="70">
        <f t="shared" si="3"/>
        <v>2564.5154894183293</v>
      </c>
      <c r="R13" s="70">
        <f t="shared" si="3"/>
        <v>2524.3682091788496</v>
      </c>
      <c r="S13" s="70">
        <f t="shared" si="3"/>
        <v>2479.8276399376191</v>
      </c>
      <c r="T13" s="70">
        <f t="shared" si="3"/>
        <v>1941.6951480161388</v>
      </c>
      <c r="U13" s="70">
        <f t="shared" si="3"/>
        <v>1877.9321154016168</v>
      </c>
      <c r="V13" s="70">
        <f t="shared" si="3"/>
        <v>1808.9030115347302</v>
      </c>
      <c r="W13" s="70">
        <f t="shared" si="3"/>
        <v>1724.8139644786693</v>
      </c>
    </row>
    <row r="14" spans="1:23" ht="15.75" customHeight="1" x14ac:dyDescent="0.25">
      <c r="A14" s="65" t="s">
        <v>106</v>
      </c>
      <c r="B14" s="66" t="s">
        <v>89</v>
      </c>
      <c r="C14" s="65"/>
      <c r="D14" s="67"/>
      <c r="E14" s="62"/>
      <c r="F14" s="62"/>
      <c r="G14" s="67"/>
      <c r="H14" s="68">
        <f>-IF(G25&gt;0,1,0.5)*Допущения!H70*MAX(H13,0)</f>
        <v>0</v>
      </c>
      <c r="I14" s="68">
        <f>-IF(H25&gt;0,1,0.5)*Допущения!I70*MAX(I13,0)</f>
        <v>0</v>
      </c>
      <c r="J14" s="68">
        <f>-IF(I25&gt;0,1,0.5)*Допущения!J70*MAX(J13,0)</f>
        <v>0</v>
      </c>
      <c r="K14" s="68">
        <f>-IF(J25&gt;0,1,0.5)*Допущения!K70*MAX(K13,0)</f>
        <v>0</v>
      </c>
      <c r="L14" s="68">
        <f>-IF(K25&gt;0,1,0.5)*Допущения!L70*MAX(L13,0)</f>
        <v>-16.900729638976834</v>
      </c>
      <c r="M14" s="68">
        <f>-IF(L25&gt;0,1,0.5)*Допущения!M70*MAX(M13,0)</f>
        <v>-127.06084858011195</v>
      </c>
      <c r="N14" s="68">
        <f>-IF(M25&gt;0,1,0.5)*Допущения!N70*MAX(N13,0)</f>
        <v>-240.68328237769893</v>
      </c>
      <c r="O14" s="68">
        <f>-IF(N25&gt;0,1,0.5)*Допущения!O70*MAX(O13,0)</f>
        <v>-274.59215720850392</v>
      </c>
      <c r="P14" s="68">
        <f>-IF(O25&gt;0,1,0.5)*Допущения!P70*MAX(P13,0)</f>
        <v>-260.047504306767</v>
      </c>
      <c r="Q14" s="68">
        <f>-IF(P25&gt;0,1,0.5)*Допущения!Q70*MAX(Q13,0)</f>
        <v>-512.90309788366585</v>
      </c>
      <c r="R14" s="68">
        <f>-IF(Q25&gt;0,1,0.5)*Допущения!R70*MAX(R13,0)</f>
        <v>-504.87364183576994</v>
      </c>
      <c r="S14" s="68">
        <f>-IF(R25&gt;0,1,0.5)*Допущения!S70*MAX(S13,0)</f>
        <v>-495.96552798752384</v>
      </c>
      <c r="T14" s="68">
        <f>-IF(S25&gt;0,1,0.5)*Допущения!T70*MAX(T13,0)</f>
        <v>-388.3390296032278</v>
      </c>
      <c r="U14" s="68">
        <f>-IF(T25&gt;0,1,0.5)*Допущения!U70*MAX(U13,0)</f>
        <v>-375.58642308032336</v>
      </c>
      <c r="V14" s="68">
        <f>-IF(U25&gt;0,1,0.5)*Допущения!V70*MAX(V13,0)</f>
        <v>-361.78060230694609</v>
      </c>
      <c r="W14" s="68">
        <f>-IF(V25&gt;0,1,0.5)*Допущения!W70*MAX(W13,0)</f>
        <v>-344.96279289573386</v>
      </c>
    </row>
    <row r="15" spans="1:23" ht="15.75" customHeight="1" x14ac:dyDescent="0.3">
      <c r="A15" s="69" t="s">
        <v>185</v>
      </c>
      <c r="B15" s="66" t="s">
        <v>89</v>
      </c>
      <c r="C15" s="65"/>
      <c r="D15" s="67"/>
      <c r="E15" s="62"/>
      <c r="F15" s="62"/>
      <c r="G15" s="67"/>
      <c r="H15" s="70">
        <f t="shared" ref="H15:W15" si="4">H13+H14</f>
        <v>-2381.90625</v>
      </c>
      <c r="I15" s="70">
        <f t="shared" si="4"/>
        <v>-2551.5495144753299</v>
      </c>
      <c r="J15" s="70">
        <f t="shared" si="4"/>
        <v>-1542.7622715640907</v>
      </c>
      <c r="K15" s="70">
        <f t="shared" si="4"/>
        <v>-489.51172200637149</v>
      </c>
      <c r="L15" s="70">
        <f t="shared" si="4"/>
        <v>152.1065667507915</v>
      </c>
      <c r="M15" s="70">
        <f t="shared" si="4"/>
        <v>1143.5476372210076</v>
      </c>
      <c r="N15" s="70">
        <f t="shared" si="4"/>
        <v>2166.1495413992902</v>
      </c>
      <c r="O15" s="70">
        <f t="shared" si="4"/>
        <v>2471.3294148765353</v>
      </c>
      <c r="P15" s="70">
        <f t="shared" si="4"/>
        <v>2340.4275387609032</v>
      </c>
      <c r="Q15" s="70">
        <f t="shared" si="4"/>
        <v>2051.6123915346634</v>
      </c>
      <c r="R15" s="70">
        <f t="shared" si="4"/>
        <v>2019.4945673430798</v>
      </c>
      <c r="S15" s="70">
        <f t="shared" si="4"/>
        <v>1983.8621119500954</v>
      </c>
      <c r="T15" s="70">
        <f t="shared" si="4"/>
        <v>1553.356118412911</v>
      </c>
      <c r="U15" s="70">
        <f t="shared" si="4"/>
        <v>1502.3456923212934</v>
      </c>
      <c r="V15" s="70">
        <f t="shared" si="4"/>
        <v>1447.1224092277841</v>
      </c>
      <c r="W15" s="70">
        <f t="shared" si="4"/>
        <v>1379.8511715829354</v>
      </c>
    </row>
    <row r="16" spans="1:23" ht="15.75" customHeight="1" x14ac:dyDescent="0.25">
      <c r="A16" s="62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</row>
    <row r="17" spans="1:23" ht="15.75" customHeight="1" x14ac:dyDescent="0.3">
      <c r="A17" s="63" t="s">
        <v>186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</row>
    <row r="18" spans="1:23" ht="15.75" customHeight="1" x14ac:dyDescent="0.25">
      <c r="A18" s="65" t="s">
        <v>187</v>
      </c>
      <c r="B18" s="66" t="s">
        <v>89</v>
      </c>
      <c r="C18" s="65"/>
      <c r="D18" s="67"/>
      <c r="E18" s="62"/>
      <c r="F18" s="62"/>
      <c r="G18" s="68">
        <f>Допущения!G74</f>
        <v>0</v>
      </c>
      <c r="H18" s="68">
        <f>Расчеты!H47</f>
        <v>12500</v>
      </c>
      <c r="I18" s="68">
        <f>Расчеты!I47</f>
        <v>12083.333333333334</v>
      </c>
      <c r="J18" s="68">
        <f>Расчеты!J47</f>
        <v>11645.833333333334</v>
      </c>
      <c r="K18" s="68">
        <f>Расчеты!K47</f>
        <v>11186.458333333334</v>
      </c>
      <c r="L18" s="68">
        <f>Расчеты!L47</f>
        <v>10704.114583333334</v>
      </c>
      <c r="M18" s="68">
        <f>Расчеты!M47</f>
        <v>10197.653645833334</v>
      </c>
      <c r="N18" s="68">
        <f>Расчеты!N47</f>
        <v>9665.8696614583332</v>
      </c>
      <c r="O18" s="68">
        <f>Расчеты!O47</f>
        <v>9107.4964778645844</v>
      </c>
      <c r="P18" s="68">
        <f>Расчеты!P47</f>
        <v>8521.2046350911478</v>
      </c>
      <c r="Q18" s="68">
        <f>Расчеты!Q47</f>
        <v>7905.5982001790398</v>
      </c>
      <c r="R18" s="68">
        <f>Расчеты!R47</f>
        <v>7259.2114435213252</v>
      </c>
      <c r="S18" s="68">
        <f>Расчеты!S47</f>
        <v>6580.5053490307273</v>
      </c>
      <c r="T18" s="68">
        <f>Расчеты!T47</f>
        <v>5867.8639498155962</v>
      </c>
      <c r="U18" s="68">
        <f>Расчеты!U47</f>
        <v>5119.5904806397075</v>
      </c>
      <c r="V18" s="68">
        <f>Расчеты!V47</f>
        <v>4333.9033380050259</v>
      </c>
      <c r="W18" s="68">
        <f>Расчеты!W47</f>
        <v>3508.9318382386086</v>
      </c>
    </row>
    <row r="19" spans="1:23" ht="15.75" customHeight="1" x14ac:dyDescent="0.25">
      <c r="A19" s="65" t="s">
        <v>111</v>
      </c>
      <c r="B19" s="66" t="s">
        <v>89</v>
      </c>
      <c r="C19" s="65"/>
      <c r="D19" s="67"/>
      <c r="E19" s="62"/>
      <c r="F19" s="62"/>
      <c r="G19" s="68">
        <f>Допущения!G76</f>
        <v>150</v>
      </c>
      <c r="H19" s="68">
        <f>Расчеты!H41</f>
        <v>150</v>
      </c>
      <c r="I19" s="68">
        <f>Расчеты!I41</f>
        <v>158.0907930871582</v>
      </c>
      <c r="J19" s="68">
        <f>Расчеты!J41</f>
        <v>319.7485096933454</v>
      </c>
      <c r="K19" s="68">
        <f>Расчеты!K41</f>
        <v>485.03350885248517</v>
      </c>
      <c r="L19" s="68">
        <f>Расчеты!L41</f>
        <v>654.00705749896963</v>
      </c>
      <c r="M19" s="68">
        <f>Расчеты!M41</f>
        <v>826.73134327047478</v>
      </c>
      <c r="N19" s="68">
        <f>Расчеты!N41</f>
        <v>1003.269487484094</v>
      </c>
      <c r="O19" s="68">
        <f>Расчеты!O41</f>
        <v>1040.1118382800828</v>
      </c>
      <c r="P19" s="68">
        <f>Расчеты!P41</f>
        <v>1077.657761917782</v>
      </c>
      <c r="Q19" s="68">
        <f>Расчеты!Q41</f>
        <v>1089.8150885444172</v>
      </c>
      <c r="R19" s="68">
        <f>Расчеты!R41</f>
        <v>1102.109565012059</v>
      </c>
      <c r="S19" s="68">
        <f>Расчеты!S41</f>
        <v>1114.5427385423511</v>
      </c>
      <c r="T19" s="68">
        <f>Расчеты!T41</f>
        <v>1127.116173811532</v>
      </c>
      <c r="U19" s="68">
        <f>Расчеты!U41</f>
        <v>1139.8314531473432</v>
      </c>
      <c r="V19" s="68">
        <f>Расчеты!V41</f>
        <v>1152.690176728162</v>
      </c>
      <c r="W19" s="68">
        <f>Расчеты!W41</f>
        <v>1165.6939627843765</v>
      </c>
    </row>
    <row r="20" spans="1:23" ht="15.75" customHeight="1" x14ac:dyDescent="0.25">
      <c r="A20" s="65" t="s">
        <v>147</v>
      </c>
      <c r="B20" s="66" t="s">
        <v>89</v>
      </c>
      <c r="C20" s="65"/>
      <c r="D20" s="67"/>
      <c r="E20" s="62"/>
      <c r="F20" s="62"/>
      <c r="G20" s="68">
        <f>Допущения!G75</f>
        <v>0</v>
      </c>
      <c r="H20" s="68">
        <f>Расчеты!H37</f>
        <v>0</v>
      </c>
      <c r="I20" s="68">
        <f>Расчеты!I37</f>
        <v>73.775703440673823</v>
      </c>
      <c r="J20" s="68">
        <f>Расчеты!J37</f>
        <v>149.21597119022786</v>
      </c>
      <c r="K20" s="68">
        <f>Расчеты!K37</f>
        <v>226.34897079782644</v>
      </c>
      <c r="L20" s="68">
        <f>Расчеты!L37</f>
        <v>305.20329349951919</v>
      </c>
      <c r="M20" s="68">
        <f>Расчеты!M37</f>
        <v>385.80796019288829</v>
      </c>
      <c r="N20" s="68">
        <f>Расчеты!N37</f>
        <v>468.19242749257722</v>
      </c>
      <c r="O20" s="68">
        <f>Расчеты!O37</f>
        <v>485.38552453070531</v>
      </c>
      <c r="P20" s="68">
        <f>Расчеты!P37</f>
        <v>502.90695556163166</v>
      </c>
      <c r="Q20" s="68">
        <f>Расчеты!Q37</f>
        <v>508.58037465406142</v>
      </c>
      <c r="R20" s="68">
        <f>Расчеты!R37</f>
        <v>514.31779700562754</v>
      </c>
      <c r="S20" s="68">
        <f>Расчеты!S37</f>
        <v>520.11994465309726</v>
      </c>
      <c r="T20" s="68">
        <f>Расчеты!T37</f>
        <v>525.987547778715</v>
      </c>
      <c r="U20" s="68">
        <f>Расчеты!U37</f>
        <v>531.92134480209347</v>
      </c>
      <c r="V20" s="68">
        <f>Расчеты!V37</f>
        <v>537.92208247314227</v>
      </c>
      <c r="W20" s="68">
        <f>Расчеты!W37</f>
        <v>543.99051596604238</v>
      </c>
    </row>
    <row r="21" spans="1:23" ht="15.75" customHeight="1" x14ac:dyDescent="0.25">
      <c r="A21" s="65" t="s">
        <v>112</v>
      </c>
      <c r="B21" s="66" t="s">
        <v>89</v>
      </c>
      <c r="C21" s="65"/>
      <c r="D21" s="67"/>
      <c r="E21" s="62"/>
      <c r="F21" s="62"/>
      <c r="G21" s="68">
        <f>Допущения!G77</f>
        <v>0</v>
      </c>
      <c r="H21" s="68">
        <f>Расчеты!H69</f>
        <v>2582.4625000000001</v>
      </c>
      <c r="I21" s="68">
        <f>Расчеты!I69</f>
        <v>2518.34105170459</v>
      </c>
      <c r="J21" s="68">
        <f>Расчеты!J69</f>
        <v>0</v>
      </c>
      <c r="K21" s="68">
        <f>Расчеты!K69</f>
        <v>0</v>
      </c>
      <c r="L21" s="68">
        <f>Расчеты!L69</f>
        <v>0</v>
      </c>
      <c r="M21" s="68">
        <f>Расчеты!M69</f>
        <v>0</v>
      </c>
      <c r="N21" s="68">
        <f>Расчеты!N69</f>
        <v>0</v>
      </c>
      <c r="O21" s="68">
        <f>Расчеты!O69</f>
        <v>0</v>
      </c>
      <c r="P21" s="68">
        <f>Расчеты!P69</f>
        <v>0</v>
      </c>
      <c r="Q21" s="68">
        <f>Расчеты!Q69</f>
        <v>0</v>
      </c>
      <c r="R21" s="68">
        <f>Расчеты!R69</f>
        <v>0</v>
      </c>
      <c r="S21" s="68">
        <f>Расчеты!S69</f>
        <v>0</v>
      </c>
      <c r="T21" s="68">
        <f>Расчеты!T69</f>
        <v>0</v>
      </c>
      <c r="U21" s="68">
        <f>Расчеты!U69</f>
        <v>0</v>
      </c>
      <c r="V21" s="68">
        <f>Расчеты!V69</f>
        <v>0</v>
      </c>
      <c r="W21" s="68">
        <f>Расчеты!W69</f>
        <v>0</v>
      </c>
    </row>
    <row r="22" spans="1:23" ht="15.75" customHeight="1" x14ac:dyDescent="0.25">
      <c r="A22" s="65" t="s">
        <v>113</v>
      </c>
      <c r="B22" s="66" t="s">
        <v>89</v>
      </c>
      <c r="C22" s="65"/>
      <c r="D22" s="67"/>
      <c r="E22" s="62"/>
      <c r="F22" s="62"/>
      <c r="G22" s="68">
        <f>Допущения!G78</f>
        <v>1850</v>
      </c>
      <c r="H22" s="68">
        <f t="shared" ref="H22:W22" si="5">H50</f>
        <v>260.63124999999854</v>
      </c>
      <c r="I22" s="68">
        <f t="shared" si="5"/>
        <v>2409.3333043557395</v>
      </c>
      <c r="J22" s="68">
        <f t="shared" si="5"/>
        <v>2891.8780988012118</v>
      </c>
      <c r="K22" s="68">
        <f t="shared" si="5"/>
        <v>1931.2588187196325</v>
      </c>
      <c r="L22" s="68">
        <f t="shared" si="5"/>
        <v>1633.7805056431084</v>
      </c>
      <c r="M22" s="68">
        <f t="shared" si="5"/>
        <v>2351.1782689816077</v>
      </c>
      <c r="N22" s="68">
        <f t="shared" si="5"/>
        <v>4115.8338653296769</v>
      </c>
      <c r="O22" s="68">
        <f t="shared" si="5"/>
        <v>6295.7784580230491</v>
      </c>
      <c r="P22" s="68">
        <f t="shared" si="5"/>
        <v>8370.4096439993064</v>
      </c>
      <c r="Q22" s="68">
        <f t="shared" si="5"/>
        <v>10185.021718279244</v>
      </c>
      <c r="R22" s="68">
        <f t="shared" si="5"/>
        <v>11998.263115503894</v>
      </c>
      <c r="S22" s="68">
        <f t="shared" si="5"/>
        <v>13808.158051031856</v>
      </c>
      <c r="T22" s="68">
        <f t="shared" si="5"/>
        <v>15221.448784729871</v>
      </c>
      <c r="U22" s="68">
        <f t="shared" si="5"/>
        <v>16619.327481084874</v>
      </c>
      <c r="V22" s="68">
        <f t="shared" si="5"/>
        <v>17999.362719124125</v>
      </c>
      <c r="W22" s="68">
        <f t="shared" si="5"/>
        <v>20199.591346981586</v>
      </c>
    </row>
    <row r="23" spans="1:23" ht="15.75" customHeight="1" x14ac:dyDescent="0.3">
      <c r="A23" s="69" t="s">
        <v>188</v>
      </c>
      <c r="B23" s="66" t="s">
        <v>89</v>
      </c>
      <c r="C23" s="65"/>
      <c r="D23" s="67"/>
      <c r="E23" s="62"/>
      <c r="F23" s="62"/>
      <c r="G23" s="70">
        <f t="shared" ref="G23:W23" si="6">SUM(G18:G22)</f>
        <v>2000</v>
      </c>
      <c r="H23" s="70">
        <f t="shared" si="6"/>
        <v>15493.093749999998</v>
      </c>
      <c r="I23" s="70">
        <f t="shared" si="6"/>
        <v>17242.874185921493</v>
      </c>
      <c r="J23" s="70">
        <f t="shared" si="6"/>
        <v>15006.675913018118</v>
      </c>
      <c r="K23" s="70">
        <f t="shared" si="6"/>
        <v>13829.099631703277</v>
      </c>
      <c r="L23" s="70">
        <f t="shared" si="6"/>
        <v>13297.10543997493</v>
      </c>
      <c r="M23" s="70">
        <f t="shared" si="6"/>
        <v>13761.371218278304</v>
      </c>
      <c r="N23" s="70">
        <f t="shared" si="6"/>
        <v>15253.165441764682</v>
      </c>
      <c r="O23" s="70">
        <f t="shared" si="6"/>
        <v>16928.772298698423</v>
      </c>
      <c r="P23" s="70">
        <f t="shared" si="6"/>
        <v>18472.17899656987</v>
      </c>
      <c r="Q23" s="70">
        <f t="shared" si="6"/>
        <v>19689.015381656762</v>
      </c>
      <c r="R23" s="70">
        <f t="shared" si="6"/>
        <v>20873.901921042907</v>
      </c>
      <c r="S23" s="70">
        <f t="shared" si="6"/>
        <v>22023.326083258031</v>
      </c>
      <c r="T23" s="70">
        <f t="shared" si="6"/>
        <v>22742.416456135717</v>
      </c>
      <c r="U23" s="70">
        <f t="shared" si="6"/>
        <v>23410.67075967402</v>
      </c>
      <c r="V23" s="70">
        <f t="shared" si="6"/>
        <v>24023.878316330454</v>
      </c>
      <c r="W23" s="70">
        <f t="shared" si="6"/>
        <v>25418.207663970614</v>
      </c>
    </row>
    <row r="24" spans="1:23" ht="15.75" customHeight="1" x14ac:dyDescent="0.25">
      <c r="A24" s="65" t="s">
        <v>189</v>
      </c>
      <c r="B24" s="66" t="s">
        <v>89</v>
      </c>
      <c r="C24" s="65"/>
      <c r="D24" s="67"/>
      <c r="E24" s="62"/>
      <c r="F24" s="62"/>
      <c r="G24" s="68">
        <f>Допущения!G80</f>
        <v>2000</v>
      </c>
      <c r="H24" s="68">
        <f>G24+Расчеты!H51</f>
        <v>6000</v>
      </c>
      <c r="I24" s="68">
        <f>H24+Расчеты!I51</f>
        <v>11000</v>
      </c>
      <c r="J24" s="68">
        <f>I24+Расчеты!J51</f>
        <v>11000</v>
      </c>
      <c r="K24" s="68">
        <f>J24+Расчеты!K51</f>
        <v>11000</v>
      </c>
      <c r="L24" s="68">
        <f>K24+Расчеты!L51</f>
        <v>11000</v>
      </c>
      <c r="M24" s="68">
        <f>L24+Расчеты!M51</f>
        <v>11000</v>
      </c>
      <c r="N24" s="68">
        <f>M24+Расчеты!N51</f>
        <v>11000</v>
      </c>
      <c r="O24" s="68">
        <f>N24+Расчеты!O51</f>
        <v>11000</v>
      </c>
      <c r="P24" s="68">
        <f>O24+Расчеты!P51</f>
        <v>11000</v>
      </c>
      <c r="Q24" s="68">
        <f>P24+Расчеты!Q51</f>
        <v>11000</v>
      </c>
      <c r="R24" s="68">
        <f>Q24+Расчеты!R51</f>
        <v>11000</v>
      </c>
      <c r="S24" s="68">
        <f>R24+Расчеты!S51</f>
        <v>11000</v>
      </c>
      <c r="T24" s="68">
        <f>S24+Расчеты!T51</f>
        <v>11000</v>
      </c>
      <c r="U24" s="68">
        <f>T24+Расчеты!U51</f>
        <v>11000</v>
      </c>
      <c r="V24" s="68">
        <f>U24+Расчеты!V51</f>
        <v>11000</v>
      </c>
      <c r="W24" s="68">
        <f>V24+Расчеты!W51</f>
        <v>11000</v>
      </c>
    </row>
    <row r="25" spans="1:23" ht="15.75" customHeight="1" x14ac:dyDescent="0.25">
      <c r="A25" s="65" t="s">
        <v>116</v>
      </c>
      <c r="B25" s="66" t="s">
        <v>89</v>
      </c>
      <c r="C25" s="65"/>
      <c r="D25" s="67"/>
      <c r="E25" s="62"/>
      <c r="F25" s="62"/>
      <c r="G25" s="68">
        <f>Допущения!G81</f>
        <v>0</v>
      </c>
      <c r="H25" s="68">
        <f t="shared" ref="H25:W25" si="7">G25+H15</f>
        <v>-2381.90625</v>
      </c>
      <c r="I25" s="68">
        <f t="shared" si="7"/>
        <v>-4933.4557644753295</v>
      </c>
      <c r="J25" s="68">
        <f t="shared" si="7"/>
        <v>-6476.2180360394204</v>
      </c>
      <c r="K25" s="68">
        <f t="shared" si="7"/>
        <v>-6965.7297580457916</v>
      </c>
      <c r="L25" s="68">
        <f t="shared" si="7"/>
        <v>-6813.6231912949997</v>
      </c>
      <c r="M25" s="68">
        <f t="shared" si="7"/>
        <v>-5670.075554073992</v>
      </c>
      <c r="N25" s="68">
        <f t="shared" si="7"/>
        <v>-3503.9260126747017</v>
      </c>
      <c r="O25" s="68">
        <f t="shared" si="7"/>
        <v>-1032.5965977981664</v>
      </c>
      <c r="P25" s="68">
        <f t="shared" si="7"/>
        <v>1307.8309409627368</v>
      </c>
      <c r="Q25" s="68">
        <f t="shared" si="7"/>
        <v>3359.4433324974002</v>
      </c>
      <c r="R25" s="68">
        <f t="shared" si="7"/>
        <v>5378.93789984048</v>
      </c>
      <c r="S25" s="68">
        <f t="shared" si="7"/>
        <v>7362.8000117905758</v>
      </c>
      <c r="T25" s="68">
        <f t="shared" si="7"/>
        <v>8916.1561302034861</v>
      </c>
      <c r="U25" s="68">
        <f t="shared" si="7"/>
        <v>10418.50182252478</v>
      </c>
      <c r="V25" s="68">
        <f t="shared" si="7"/>
        <v>11865.624231752565</v>
      </c>
      <c r="W25" s="68">
        <f t="shared" si="7"/>
        <v>13245.4754033355</v>
      </c>
    </row>
    <row r="26" spans="1:23" ht="15.75" customHeight="1" x14ac:dyDescent="0.3">
      <c r="A26" s="69" t="s">
        <v>190</v>
      </c>
      <c r="B26" s="66" t="s">
        <v>89</v>
      </c>
      <c r="C26" s="65"/>
      <c r="D26" s="67"/>
      <c r="E26" s="62"/>
      <c r="F26" s="62"/>
      <c r="G26" s="70">
        <f t="shared" ref="G26:W26" si="8">G24+G25</f>
        <v>2000</v>
      </c>
      <c r="H26" s="70">
        <f t="shared" si="8"/>
        <v>3618.09375</v>
      </c>
      <c r="I26" s="70">
        <f t="shared" si="8"/>
        <v>6066.5442355246705</v>
      </c>
      <c r="J26" s="70">
        <f t="shared" si="8"/>
        <v>4523.7819639605796</v>
      </c>
      <c r="K26" s="70">
        <f t="shared" si="8"/>
        <v>4034.2702419542084</v>
      </c>
      <c r="L26" s="70">
        <f t="shared" si="8"/>
        <v>4186.3768087050003</v>
      </c>
      <c r="M26" s="70">
        <f t="shared" si="8"/>
        <v>5329.924445926008</v>
      </c>
      <c r="N26" s="70">
        <f t="shared" si="8"/>
        <v>7496.0739873252987</v>
      </c>
      <c r="O26" s="70">
        <f t="shared" si="8"/>
        <v>9967.4034022018332</v>
      </c>
      <c r="P26" s="70">
        <f t="shared" si="8"/>
        <v>12307.830940962736</v>
      </c>
      <c r="Q26" s="70">
        <f t="shared" si="8"/>
        <v>14359.4433324974</v>
      </c>
      <c r="R26" s="70">
        <f t="shared" si="8"/>
        <v>16378.937899840479</v>
      </c>
      <c r="S26" s="70">
        <f t="shared" si="8"/>
        <v>18362.800011790576</v>
      </c>
      <c r="T26" s="70">
        <f t="shared" si="8"/>
        <v>19916.156130203486</v>
      </c>
      <c r="U26" s="70">
        <f t="shared" si="8"/>
        <v>21418.50182252478</v>
      </c>
      <c r="V26" s="70">
        <f t="shared" si="8"/>
        <v>22865.624231752565</v>
      </c>
      <c r="W26" s="70">
        <f t="shared" si="8"/>
        <v>24245.475403335498</v>
      </c>
    </row>
    <row r="27" spans="1:23" ht="15.75" customHeight="1" x14ac:dyDescent="0.25">
      <c r="A27" s="65" t="s">
        <v>191</v>
      </c>
      <c r="B27" s="66" t="s">
        <v>89</v>
      </c>
      <c r="C27" s="65"/>
      <c r="D27" s="67"/>
      <c r="E27" s="62"/>
      <c r="F27" s="62"/>
      <c r="G27" s="68">
        <f>Допущения!G82</f>
        <v>0</v>
      </c>
      <c r="H27" s="68">
        <f>Расчеты!H54</f>
        <v>11875</v>
      </c>
      <c r="I27" s="68">
        <f>Расчеты!I54</f>
        <v>11026.785714285714</v>
      </c>
      <c r="J27" s="68">
        <f>Расчеты!J54</f>
        <v>10178.571428571428</v>
      </c>
      <c r="K27" s="68">
        <f>Расчеты!K54</f>
        <v>9330.3571428571413</v>
      </c>
      <c r="L27" s="68">
        <f>Расчеты!L54</f>
        <v>8482.1428571428551</v>
      </c>
      <c r="M27" s="68">
        <f>Расчеты!M54</f>
        <v>7633.9285714285697</v>
      </c>
      <c r="N27" s="68">
        <f>Расчеты!N54</f>
        <v>6785.7142857142844</v>
      </c>
      <c r="O27" s="68">
        <f>Расчеты!O54</f>
        <v>5937.4999999999991</v>
      </c>
      <c r="P27" s="68">
        <f>Расчеты!P54</f>
        <v>5089.2857142857138</v>
      </c>
      <c r="Q27" s="68">
        <f>Расчеты!Q54</f>
        <v>4241.0714285714284</v>
      </c>
      <c r="R27" s="68">
        <f>Расчеты!R54</f>
        <v>3392.8571428571427</v>
      </c>
      <c r="S27" s="68">
        <f>Расчеты!S54</f>
        <v>2544.6428571428569</v>
      </c>
      <c r="T27" s="68">
        <f>Расчеты!T54</f>
        <v>1696.4285714285711</v>
      </c>
      <c r="U27" s="68">
        <f>Расчеты!U54</f>
        <v>848.21428571428544</v>
      </c>
      <c r="V27" s="68">
        <f>Расчеты!V54</f>
        <v>0</v>
      </c>
      <c r="W27" s="68">
        <f>Расчеты!W54</f>
        <v>0</v>
      </c>
    </row>
    <row r="28" spans="1:23" ht="15.75" customHeight="1" x14ac:dyDescent="0.25">
      <c r="A28" s="65" t="s">
        <v>148</v>
      </c>
      <c r="B28" s="66" t="s">
        <v>89</v>
      </c>
      <c r="C28" s="65"/>
      <c r="D28" s="67"/>
      <c r="E28" s="62"/>
      <c r="F28" s="62"/>
      <c r="G28" s="68">
        <f>Допущения!G83</f>
        <v>0</v>
      </c>
      <c r="H28" s="68">
        <f>Расчеты!H39</f>
        <v>0</v>
      </c>
      <c r="I28" s="68">
        <f>Расчеты!I39</f>
        <v>149.54423611111113</v>
      </c>
      <c r="J28" s="68">
        <f>Расчеты!J39</f>
        <v>304.3225204861111</v>
      </c>
      <c r="K28" s="68">
        <f>Расчеты!K39</f>
        <v>464.47224689192723</v>
      </c>
      <c r="L28" s="68">
        <f>Расчеты!L39</f>
        <v>628.58577412707473</v>
      </c>
      <c r="M28" s="68">
        <f>Расчеты!M39</f>
        <v>797.518200923726</v>
      </c>
      <c r="N28" s="68">
        <f>Расчеты!N39</f>
        <v>971.37716872509816</v>
      </c>
      <c r="O28" s="68">
        <f>Расчеты!O39</f>
        <v>1023.8688964965891</v>
      </c>
      <c r="P28" s="68">
        <f>Расчеты!P39</f>
        <v>1075.0623413214184</v>
      </c>
      <c r="Q28" s="68">
        <f>Расчеты!Q39</f>
        <v>1088.5006205879361</v>
      </c>
      <c r="R28" s="68">
        <f>Расчеты!R39</f>
        <v>1102.1068783452852</v>
      </c>
      <c r="S28" s="68">
        <f>Расчеты!S39</f>
        <v>1115.8832143246011</v>
      </c>
      <c r="T28" s="68">
        <f>Расчеты!T39</f>
        <v>1129.8317545036589</v>
      </c>
      <c r="U28" s="68">
        <f>Расчеты!U39</f>
        <v>1143.9546514349545</v>
      </c>
      <c r="V28" s="68">
        <f>Расчеты!V39</f>
        <v>1158.2540845778915</v>
      </c>
      <c r="W28" s="68">
        <f>Расчеты!W39</f>
        <v>1172.7322606351149</v>
      </c>
    </row>
    <row r="29" spans="1:23" ht="15.75" customHeight="1" x14ac:dyDescent="0.3">
      <c r="A29" s="69" t="s">
        <v>192</v>
      </c>
      <c r="B29" s="66" t="s">
        <v>89</v>
      </c>
      <c r="C29" s="65"/>
      <c r="D29" s="67"/>
      <c r="E29" s="62"/>
      <c r="F29" s="62"/>
      <c r="G29" s="70">
        <f t="shared" ref="G29:W29" si="9">G27+G28</f>
        <v>0</v>
      </c>
      <c r="H29" s="70">
        <f t="shared" si="9"/>
        <v>11875</v>
      </c>
      <c r="I29" s="70">
        <f t="shared" si="9"/>
        <v>11176.329950396825</v>
      </c>
      <c r="J29" s="70">
        <f t="shared" si="9"/>
        <v>10482.893949057539</v>
      </c>
      <c r="K29" s="70">
        <f t="shared" si="9"/>
        <v>9794.8293897490694</v>
      </c>
      <c r="L29" s="70">
        <f t="shared" si="9"/>
        <v>9110.7286312699289</v>
      </c>
      <c r="M29" s="70">
        <f t="shared" si="9"/>
        <v>8431.4467723522957</v>
      </c>
      <c r="N29" s="70">
        <f t="shared" si="9"/>
        <v>7757.0914544393827</v>
      </c>
      <c r="O29" s="70">
        <f t="shared" si="9"/>
        <v>6961.3688964965877</v>
      </c>
      <c r="P29" s="70">
        <f t="shared" si="9"/>
        <v>6164.3480556071318</v>
      </c>
      <c r="Q29" s="70">
        <f t="shared" si="9"/>
        <v>5329.5720491593647</v>
      </c>
      <c r="R29" s="70">
        <f t="shared" si="9"/>
        <v>4494.9640212024278</v>
      </c>
      <c r="S29" s="70">
        <f t="shared" si="9"/>
        <v>3660.5260714674578</v>
      </c>
      <c r="T29" s="70">
        <f t="shared" si="9"/>
        <v>2826.26032593223</v>
      </c>
      <c r="U29" s="70">
        <f t="shared" si="9"/>
        <v>1992.1689371492398</v>
      </c>
      <c r="V29" s="70">
        <f t="shared" si="9"/>
        <v>1158.2540845778915</v>
      </c>
      <c r="W29" s="70">
        <f t="shared" si="9"/>
        <v>1172.7322606351149</v>
      </c>
    </row>
    <row r="30" spans="1:23" ht="16.5" customHeight="1" x14ac:dyDescent="0.3">
      <c r="A30" s="69" t="s">
        <v>193</v>
      </c>
      <c r="B30" s="66" t="s">
        <v>89</v>
      </c>
      <c r="C30" s="65"/>
      <c r="D30" s="67"/>
      <c r="E30" s="62"/>
      <c r="F30" s="62"/>
      <c r="G30" s="70">
        <f t="shared" ref="G30:W30" si="10">G26+G29</f>
        <v>2000</v>
      </c>
      <c r="H30" s="70">
        <f t="shared" si="10"/>
        <v>15493.09375</v>
      </c>
      <c r="I30" s="70">
        <f t="shared" si="10"/>
        <v>17242.874185921493</v>
      </c>
      <c r="J30" s="70">
        <f t="shared" si="10"/>
        <v>15006.67591301812</v>
      </c>
      <c r="K30" s="70">
        <f t="shared" si="10"/>
        <v>13829.099631703277</v>
      </c>
      <c r="L30" s="70">
        <f t="shared" si="10"/>
        <v>13297.10543997493</v>
      </c>
      <c r="M30" s="70">
        <f t="shared" si="10"/>
        <v>13761.371218278304</v>
      </c>
      <c r="N30" s="70">
        <f t="shared" si="10"/>
        <v>15253.165441764682</v>
      </c>
      <c r="O30" s="70">
        <f t="shared" si="10"/>
        <v>16928.772298698423</v>
      </c>
      <c r="P30" s="70">
        <f t="shared" si="10"/>
        <v>18472.17899656987</v>
      </c>
      <c r="Q30" s="70">
        <f t="shared" si="10"/>
        <v>19689.015381656765</v>
      </c>
      <c r="R30" s="70">
        <f t="shared" si="10"/>
        <v>20873.901921042907</v>
      </c>
      <c r="S30" s="70">
        <f t="shared" si="10"/>
        <v>22023.326083258034</v>
      </c>
      <c r="T30" s="70">
        <f t="shared" si="10"/>
        <v>22742.416456135717</v>
      </c>
      <c r="U30" s="70">
        <f t="shared" si="10"/>
        <v>23410.67075967402</v>
      </c>
      <c r="V30" s="70">
        <f t="shared" si="10"/>
        <v>24023.878316330458</v>
      </c>
      <c r="W30" s="70">
        <f t="shared" si="10"/>
        <v>25418.207663970614</v>
      </c>
    </row>
    <row r="31" spans="1:23" ht="15.75" customHeight="1" x14ac:dyDescent="0.25">
      <c r="A31" s="65" t="s">
        <v>119</v>
      </c>
      <c r="B31" s="66" t="s">
        <v>89</v>
      </c>
      <c r="C31" s="65"/>
      <c r="D31" s="67"/>
      <c r="E31" s="62"/>
      <c r="F31" s="62"/>
      <c r="G31" s="68">
        <f t="shared" ref="G31:W31" si="11">G23-G30</f>
        <v>0</v>
      </c>
      <c r="H31" s="68">
        <f t="shared" si="11"/>
        <v>0</v>
      </c>
      <c r="I31" s="68">
        <f t="shared" si="11"/>
        <v>0</v>
      </c>
      <c r="J31" s="68">
        <f t="shared" si="11"/>
        <v>0</v>
      </c>
      <c r="K31" s="68">
        <f t="shared" si="11"/>
        <v>0</v>
      </c>
      <c r="L31" s="68">
        <f t="shared" si="11"/>
        <v>0</v>
      </c>
      <c r="M31" s="68">
        <f t="shared" si="11"/>
        <v>0</v>
      </c>
      <c r="N31" s="68">
        <f t="shared" si="11"/>
        <v>0</v>
      </c>
      <c r="O31" s="68">
        <f t="shared" si="11"/>
        <v>0</v>
      </c>
      <c r="P31" s="68">
        <f t="shared" si="11"/>
        <v>0</v>
      </c>
      <c r="Q31" s="68">
        <f t="shared" si="11"/>
        <v>0</v>
      </c>
      <c r="R31" s="68">
        <f t="shared" si="11"/>
        <v>0</v>
      </c>
      <c r="S31" s="68">
        <f t="shared" si="11"/>
        <v>0</v>
      </c>
      <c r="T31" s="68">
        <f t="shared" si="11"/>
        <v>0</v>
      </c>
      <c r="U31" s="68">
        <f t="shared" si="11"/>
        <v>0</v>
      </c>
      <c r="V31" s="68">
        <f t="shared" si="11"/>
        <v>0</v>
      </c>
      <c r="W31" s="68">
        <f t="shared" si="11"/>
        <v>0</v>
      </c>
    </row>
    <row r="32" spans="1:23" ht="15.75" customHeight="1" x14ac:dyDescent="0.25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</row>
    <row r="33" spans="1:23" ht="15.75" customHeight="1" x14ac:dyDescent="0.3">
      <c r="A33" s="63" t="s">
        <v>194</v>
      </c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</row>
    <row r="34" spans="1:23" ht="15.75" customHeight="1" x14ac:dyDescent="0.25">
      <c r="A34" s="65" t="s">
        <v>185</v>
      </c>
      <c r="B34" s="66" t="s">
        <v>89</v>
      </c>
      <c r="C34" s="65"/>
      <c r="D34" s="67"/>
      <c r="E34" s="62"/>
      <c r="F34" s="62"/>
      <c r="G34" s="67"/>
      <c r="H34" s="68">
        <f t="shared" ref="H34:W34" si="12">H15</f>
        <v>-2381.90625</v>
      </c>
      <c r="I34" s="68">
        <f t="shared" si="12"/>
        <v>-2551.5495144753299</v>
      </c>
      <c r="J34" s="68">
        <f t="shared" si="12"/>
        <v>-1542.7622715640907</v>
      </c>
      <c r="K34" s="68">
        <f t="shared" si="12"/>
        <v>-489.51172200637149</v>
      </c>
      <c r="L34" s="68">
        <f t="shared" si="12"/>
        <v>152.1065667507915</v>
      </c>
      <c r="M34" s="68">
        <f t="shared" si="12"/>
        <v>1143.5476372210076</v>
      </c>
      <c r="N34" s="68">
        <f t="shared" si="12"/>
        <v>2166.1495413992902</v>
      </c>
      <c r="O34" s="68">
        <f t="shared" si="12"/>
        <v>2471.3294148765353</v>
      </c>
      <c r="P34" s="68">
        <f t="shared" si="12"/>
        <v>2340.4275387609032</v>
      </c>
      <c r="Q34" s="68">
        <f t="shared" si="12"/>
        <v>2051.6123915346634</v>
      </c>
      <c r="R34" s="68">
        <f t="shared" si="12"/>
        <v>2019.4945673430798</v>
      </c>
      <c r="S34" s="68">
        <f t="shared" si="12"/>
        <v>1983.8621119500954</v>
      </c>
      <c r="T34" s="68">
        <f t="shared" si="12"/>
        <v>1553.356118412911</v>
      </c>
      <c r="U34" s="68">
        <f t="shared" si="12"/>
        <v>1502.3456923212934</v>
      </c>
      <c r="V34" s="68">
        <f t="shared" si="12"/>
        <v>1447.1224092277841</v>
      </c>
      <c r="W34" s="68">
        <f t="shared" si="12"/>
        <v>1379.8511715829354</v>
      </c>
    </row>
    <row r="35" spans="1:23" ht="15.75" customHeight="1" x14ac:dyDescent="0.25">
      <c r="A35" s="65" t="s">
        <v>195</v>
      </c>
      <c r="B35" s="66" t="s">
        <v>89</v>
      </c>
      <c r="C35" s="65"/>
      <c r="D35" s="67"/>
      <c r="E35" s="62"/>
      <c r="F35" s="62"/>
      <c r="G35" s="67"/>
      <c r="H35" s="68">
        <f t="shared" ref="H35:W35" si="13">-H10</f>
        <v>0</v>
      </c>
      <c r="I35" s="68">
        <f t="shared" si="13"/>
        <v>1041.6666666666667</v>
      </c>
      <c r="J35" s="68">
        <f t="shared" si="13"/>
        <v>1093.75</v>
      </c>
      <c r="K35" s="68">
        <f t="shared" si="13"/>
        <v>1148.4375</v>
      </c>
      <c r="L35" s="68">
        <f t="shared" si="13"/>
        <v>1205.859375</v>
      </c>
      <c r="M35" s="68">
        <f t="shared" si="13"/>
        <v>1266.15234375</v>
      </c>
      <c r="N35" s="68">
        <f t="shared" si="13"/>
        <v>1329.4599609375</v>
      </c>
      <c r="O35" s="68">
        <f t="shared" si="13"/>
        <v>1395.9329589843749</v>
      </c>
      <c r="P35" s="68">
        <f t="shared" si="13"/>
        <v>1465.7296069335937</v>
      </c>
      <c r="Q35" s="68">
        <f t="shared" si="13"/>
        <v>1539.0160872802735</v>
      </c>
      <c r="R35" s="68">
        <f t="shared" si="13"/>
        <v>1615.9668916442872</v>
      </c>
      <c r="S35" s="68">
        <f t="shared" si="13"/>
        <v>1696.7652362265017</v>
      </c>
      <c r="T35" s="68">
        <f t="shared" si="13"/>
        <v>1781.603498037827</v>
      </c>
      <c r="U35" s="68">
        <f t="shared" si="13"/>
        <v>1870.6836729397182</v>
      </c>
      <c r="V35" s="68">
        <f t="shared" si="13"/>
        <v>1964.2178565867041</v>
      </c>
      <c r="W35" s="68">
        <f t="shared" si="13"/>
        <v>2062.4287494160394</v>
      </c>
    </row>
    <row r="36" spans="1:23" ht="15.75" customHeight="1" x14ac:dyDescent="0.25">
      <c r="A36" s="65" t="s">
        <v>196</v>
      </c>
      <c r="B36" s="66" t="s">
        <v>89</v>
      </c>
      <c r="C36" s="65"/>
      <c r="D36" s="67"/>
      <c r="E36" s="62"/>
      <c r="F36" s="62"/>
      <c r="G36" s="67"/>
      <c r="H36" s="68">
        <f>-(Расчеты!H37-Расчеты!G37)</f>
        <v>0</v>
      </c>
      <c r="I36" s="68">
        <f>-(Расчеты!I37-Расчеты!H37)</f>
        <v>-73.775703440673823</v>
      </c>
      <c r="J36" s="68">
        <f>-(Расчеты!J37-Расчеты!I37)</f>
        <v>-75.440267749554039</v>
      </c>
      <c r="K36" s="68">
        <f>-(Расчеты!K37-Расчеты!J37)</f>
        <v>-77.132999607598578</v>
      </c>
      <c r="L36" s="68">
        <f>-(Расчеты!L37-Расчеты!K37)</f>
        <v>-78.854322701692752</v>
      </c>
      <c r="M36" s="68">
        <f>-(Расчеты!M37-Расчеты!L37)</f>
        <v>-80.604666693369097</v>
      </c>
      <c r="N36" s="68">
        <f>-(Расчеты!N37-Расчеты!M37)</f>
        <v>-82.384467299688936</v>
      </c>
      <c r="O36" s="68">
        <f>-(Расчеты!O37-Расчеты!N37)</f>
        <v>-17.193097038128087</v>
      </c>
      <c r="P36" s="68">
        <f>-(Расчеты!P37-Расчеты!O37)</f>
        <v>-17.521431030926351</v>
      </c>
      <c r="Q36" s="68">
        <f>-(Расчеты!Q37-Расчеты!P37)</f>
        <v>-5.6734190924297536</v>
      </c>
      <c r="R36" s="68">
        <f>-(Расчеты!R37-Расчеты!Q37)</f>
        <v>-5.7374223515661242</v>
      </c>
      <c r="S36" s="68">
        <f>-(Расчеты!S37-Расчеты!R37)</f>
        <v>-5.8021476474697238</v>
      </c>
      <c r="T36" s="68">
        <f>-(Расчеты!T37-Расчеты!S37)</f>
        <v>-5.8676031256177339</v>
      </c>
      <c r="U36" s="68">
        <f>-(Расчеты!U37-Расчеты!T37)</f>
        <v>-5.9337970233784745</v>
      </c>
      <c r="V36" s="68">
        <f>-(Расчеты!V37-Расчеты!U37)</f>
        <v>-6.0007376710487961</v>
      </c>
      <c r="W36" s="68">
        <f>-(Расчеты!W37-Расчеты!V37)</f>
        <v>-6.0684334929001125</v>
      </c>
    </row>
    <row r="37" spans="1:23" ht="15.75" customHeight="1" x14ac:dyDescent="0.25">
      <c r="A37" s="65" t="s">
        <v>197</v>
      </c>
      <c r="B37" s="66" t="s">
        <v>89</v>
      </c>
      <c r="C37" s="65"/>
      <c r="D37" s="67"/>
      <c r="E37" s="62"/>
      <c r="F37" s="62"/>
      <c r="G37" s="67"/>
      <c r="H37" s="68">
        <f>-(Расчеты!H69-Расчеты!G69)</f>
        <v>-2582.4625000000001</v>
      </c>
      <c r="I37" s="68">
        <f>-(Расчеты!I69-Расчеты!H69)</f>
        <v>64.121448295410119</v>
      </c>
      <c r="J37" s="68">
        <f>-(Расчеты!J69-Расчеты!I69)</f>
        <v>2518.34105170459</v>
      </c>
      <c r="K37" s="68">
        <f>-(Расчеты!K69-Расчеты!J69)</f>
        <v>0</v>
      </c>
      <c r="L37" s="68">
        <f>-(Расчеты!L69-Расчеты!K69)</f>
        <v>0</v>
      </c>
      <c r="M37" s="68">
        <f>-(Расчеты!M69-Расчеты!L69)</f>
        <v>0</v>
      </c>
      <c r="N37" s="68">
        <f>-(Расчеты!N69-Расчеты!M69)</f>
        <v>0</v>
      </c>
      <c r="O37" s="68">
        <f>-(Расчеты!O69-Расчеты!N69)</f>
        <v>0</v>
      </c>
      <c r="P37" s="68">
        <f>-(Расчеты!P69-Расчеты!O69)</f>
        <v>0</v>
      </c>
      <c r="Q37" s="68">
        <f>-(Расчеты!Q69-Расчеты!P69)</f>
        <v>0</v>
      </c>
      <c r="R37" s="68">
        <f>-(Расчеты!R69-Расчеты!Q69)</f>
        <v>0</v>
      </c>
      <c r="S37" s="68">
        <f>-(Расчеты!S69-Расчеты!R69)</f>
        <v>0</v>
      </c>
      <c r="T37" s="68">
        <f>-(Расчеты!T69-Расчеты!S69)</f>
        <v>0</v>
      </c>
      <c r="U37" s="68">
        <f>-(Расчеты!U69-Расчеты!T69)</f>
        <v>0</v>
      </c>
      <c r="V37" s="68">
        <f>-(Расчеты!V69-Расчеты!U69)</f>
        <v>0</v>
      </c>
      <c r="W37" s="68">
        <f>-(Расчеты!W69-Расчеты!V69)</f>
        <v>0</v>
      </c>
    </row>
    <row r="38" spans="1:23" ht="14.5" customHeight="1" x14ac:dyDescent="0.25">
      <c r="A38" s="65" t="s">
        <v>198</v>
      </c>
      <c r="B38" s="66" t="s">
        <v>89</v>
      </c>
      <c r="C38" s="65"/>
      <c r="D38" s="67"/>
      <c r="E38" s="62"/>
      <c r="F38" s="62"/>
      <c r="G38" s="67"/>
      <c r="H38" s="68">
        <f>-(Расчеты!H41-Расчеты!G41)</f>
        <v>0</v>
      </c>
      <c r="I38" s="68">
        <f>-(Расчеты!I41-Расчеты!H41)</f>
        <v>-8.0907930871582039</v>
      </c>
      <c r="J38" s="68">
        <f>-(Расчеты!J41-Расчеты!I41)</f>
        <v>-161.65771660618719</v>
      </c>
      <c r="K38" s="68">
        <f>-(Расчеты!K41-Расчеты!J41)</f>
        <v>-165.28499915913977</v>
      </c>
      <c r="L38" s="68">
        <f>-(Расчеты!L41-Расчеты!K41)</f>
        <v>-168.97354864648446</v>
      </c>
      <c r="M38" s="68">
        <f>-(Расчеты!M41-Расчеты!L41)</f>
        <v>-172.72428577150515</v>
      </c>
      <c r="N38" s="68">
        <f>-(Расчеты!N41-Расчеты!M41)</f>
        <v>-176.53814421361926</v>
      </c>
      <c r="O38" s="68">
        <f>-(Расчеты!O41-Расчеты!N41)</f>
        <v>-36.84235079598875</v>
      </c>
      <c r="P38" s="68">
        <f>-(Расчеты!P41-Расчеты!O41)</f>
        <v>-37.545923637699161</v>
      </c>
      <c r="Q38" s="68">
        <f>-(Расчеты!Q41-Расчеты!P41)</f>
        <v>-12.157326626635268</v>
      </c>
      <c r="R38" s="68">
        <f>-(Расчеты!R41-Расчеты!Q41)</f>
        <v>-12.294476467641744</v>
      </c>
      <c r="S38" s="68">
        <f>-(Расчеты!S41-Расчеты!R41)</f>
        <v>-12.433173530292152</v>
      </c>
      <c r="T38" s="68">
        <f>-(Расчеты!T41-Расчеты!S41)</f>
        <v>-12.573435269180891</v>
      </c>
      <c r="U38" s="68">
        <f>-(Расчеты!U41-Расчеты!T41)</f>
        <v>-12.715279335811147</v>
      </c>
      <c r="V38" s="68">
        <f>-(Расчеты!V41-Расчеты!U41)</f>
        <v>-12.858723580818832</v>
      </c>
      <c r="W38" s="68">
        <f>-(Расчеты!W41-Расчеты!V41)</f>
        <v>-13.003786056214494</v>
      </c>
    </row>
    <row r="39" spans="1:23" ht="14.5" customHeight="1" x14ac:dyDescent="0.25">
      <c r="A39" s="65" t="s">
        <v>199</v>
      </c>
      <c r="B39" s="66" t="s">
        <v>89</v>
      </c>
      <c r="C39" s="65"/>
      <c r="D39" s="67"/>
      <c r="E39" s="62"/>
      <c r="F39" s="62"/>
      <c r="G39" s="67"/>
      <c r="H39" s="68">
        <f>Расчеты!H39-Расчеты!G39</f>
        <v>0</v>
      </c>
      <c r="I39" s="68">
        <f>Расчеты!I39-Расчеты!H39</f>
        <v>149.54423611111113</v>
      </c>
      <c r="J39" s="68">
        <f>Расчеты!J39-Расчеты!I39</f>
        <v>154.77828437499997</v>
      </c>
      <c r="K39" s="68">
        <f>Расчеты!K39-Расчеты!J39</f>
        <v>160.14972640581612</v>
      </c>
      <c r="L39" s="68">
        <f>Расчеты!L39-Расчеты!K39</f>
        <v>164.1135272351475</v>
      </c>
      <c r="M39" s="68">
        <f>Расчеты!M39-Расчеты!L39</f>
        <v>168.93242679665127</v>
      </c>
      <c r="N39" s="68">
        <f>Расчеты!N39-Расчеты!M39</f>
        <v>173.85896780137216</v>
      </c>
      <c r="O39" s="68">
        <f>Расчеты!O39-Расчеты!N39</f>
        <v>52.491727771490901</v>
      </c>
      <c r="P39" s="68">
        <f>Расчеты!P39-Расчеты!O39</f>
        <v>51.193444824829385</v>
      </c>
      <c r="Q39" s="68">
        <f>Расчеты!Q39-Расчеты!P39</f>
        <v>13.438279266517611</v>
      </c>
      <c r="R39" s="68">
        <f>Расчеты!R39-Расчеты!Q39</f>
        <v>13.606257757349113</v>
      </c>
      <c r="S39" s="68">
        <f>Расчеты!S39-Расчеты!R39</f>
        <v>13.776335979315945</v>
      </c>
      <c r="T39" s="68">
        <f>Расчеты!T39-Расчеты!S39</f>
        <v>13.948540179057773</v>
      </c>
      <c r="U39" s="68">
        <f>Расчеты!U39-Расчеты!T39</f>
        <v>14.1228969312956</v>
      </c>
      <c r="V39" s="68">
        <f>Расчеты!V39-Расчеты!U39</f>
        <v>14.299433142937005</v>
      </c>
      <c r="W39" s="68">
        <f>Расчеты!W39-Расчеты!V39</f>
        <v>14.478176057223436</v>
      </c>
    </row>
    <row r="40" spans="1:23" ht="14.5" customHeight="1" x14ac:dyDescent="0.3">
      <c r="A40" s="69" t="s">
        <v>200</v>
      </c>
      <c r="B40" s="66" t="s">
        <v>89</v>
      </c>
      <c r="C40" s="65"/>
      <c r="D40" s="67"/>
      <c r="E40" s="62"/>
      <c r="F40" s="62"/>
      <c r="G40" s="67"/>
      <c r="H40" s="70">
        <f t="shared" ref="H40:W40" si="14">SUM(H34:H39)</f>
        <v>-4964.3687499999996</v>
      </c>
      <c r="I40" s="70">
        <f t="shared" si="14"/>
        <v>-1378.0836599299739</v>
      </c>
      <c r="J40" s="70">
        <f t="shared" si="14"/>
        <v>1987.0090801597578</v>
      </c>
      <c r="K40" s="70">
        <f t="shared" si="14"/>
        <v>576.65750563270637</v>
      </c>
      <c r="L40" s="70">
        <f t="shared" si="14"/>
        <v>1274.2515976377617</v>
      </c>
      <c r="M40" s="70">
        <f t="shared" si="14"/>
        <v>2325.3034553027851</v>
      </c>
      <c r="N40" s="70">
        <f t="shared" si="14"/>
        <v>3410.5458586248542</v>
      </c>
      <c r="O40" s="70">
        <f t="shared" si="14"/>
        <v>3865.7186537982839</v>
      </c>
      <c r="P40" s="70">
        <f t="shared" si="14"/>
        <v>3802.2832358507003</v>
      </c>
      <c r="Q40" s="70">
        <f t="shared" si="14"/>
        <v>3586.2360123623894</v>
      </c>
      <c r="R40" s="70">
        <f t="shared" si="14"/>
        <v>3631.0358179255081</v>
      </c>
      <c r="S40" s="70">
        <f t="shared" si="14"/>
        <v>3676.168362978151</v>
      </c>
      <c r="T40" s="70">
        <f t="shared" si="14"/>
        <v>3330.4671182349975</v>
      </c>
      <c r="U40" s="70">
        <f t="shared" si="14"/>
        <v>3368.5031858331181</v>
      </c>
      <c r="V40" s="70">
        <f t="shared" si="14"/>
        <v>3406.7802377055577</v>
      </c>
      <c r="W40" s="70">
        <f t="shared" si="14"/>
        <v>3437.6858775070832</v>
      </c>
    </row>
    <row r="41" spans="1:23" ht="14.5" customHeight="1" x14ac:dyDescent="0.25">
      <c r="A41" s="65" t="s">
        <v>201</v>
      </c>
      <c r="B41" s="66" t="s">
        <v>89</v>
      </c>
      <c r="C41" s="65"/>
      <c r="D41" s="67"/>
      <c r="E41" s="62"/>
      <c r="F41" s="62"/>
      <c r="G41" s="67"/>
      <c r="H41" s="68">
        <f>-Расчеты!H48</f>
        <v>-12500</v>
      </c>
      <c r="I41" s="68">
        <f>-Расчеты!I48</f>
        <v>-625</v>
      </c>
      <c r="J41" s="68">
        <f>-Расчеты!J48</f>
        <v>-656.25</v>
      </c>
      <c r="K41" s="68">
        <f>-Расчеты!K48</f>
        <v>-689.0625</v>
      </c>
      <c r="L41" s="68">
        <f>-Расчеты!L48</f>
        <v>-723.515625</v>
      </c>
      <c r="M41" s="68">
        <f>-Расчеты!M48</f>
        <v>-759.69140625</v>
      </c>
      <c r="N41" s="68">
        <f>-Расчеты!N48</f>
        <v>-797.67597656249927</v>
      </c>
      <c r="O41" s="68">
        <f>-Расчеты!O48</f>
        <v>-837.55977539062587</v>
      </c>
      <c r="P41" s="68">
        <f>-Расчеты!P48</f>
        <v>-879.4377641601568</v>
      </c>
      <c r="Q41" s="68">
        <f>-Расчеты!Q48</f>
        <v>-923.40965236816555</v>
      </c>
      <c r="R41" s="68">
        <f>-Расчеты!R48</f>
        <v>-969.58013498657238</v>
      </c>
      <c r="S41" s="68">
        <f>-Расчеты!S48</f>
        <v>-1018.0591417359028</v>
      </c>
      <c r="T41" s="68">
        <f>-Расчеты!T48</f>
        <v>-1068.9620988226961</v>
      </c>
      <c r="U41" s="68">
        <f>-Расчеты!U48</f>
        <v>-1122.4102037638295</v>
      </c>
      <c r="V41" s="68">
        <f>-Расчеты!V48</f>
        <v>-1178.5307139520228</v>
      </c>
      <c r="W41" s="68">
        <f>-Расчеты!W48</f>
        <v>-1237.4572496496221</v>
      </c>
    </row>
    <row r="42" spans="1:23" ht="14.5" customHeight="1" x14ac:dyDescent="0.25">
      <c r="A42" s="65" t="s">
        <v>202</v>
      </c>
      <c r="B42" s="66" t="s">
        <v>89</v>
      </c>
      <c r="C42" s="65"/>
      <c r="D42" s="67"/>
      <c r="E42" s="62"/>
      <c r="F42" s="62"/>
      <c r="G42" s="67"/>
      <c r="H42" s="68">
        <f>0</f>
        <v>0</v>
      </c>
      <c r="I42" s="68">
        <f>0</f>
        <v>0</v>
      </c>
      <c r="J42" s="68">
        <f>0</f>
        <v>0</v>
      </c>
      <c r="K42" s="68">
        <f>0</f>
        <v>0</v>
      </c>
      <c r="L42" s="68">
        <f>0</f>
        <v>0</v>
      </c>
      <c r="M42" s="68">
        <f>0</f>
        <v>0</v>
      </c>
      <c r="N42" s="68">
        <f>0</f>
        <v>0</v>
      </c>
      <c r="O42" s="68">
        <f>0</f>
        <v>0</v>
      </c>
      <c r="P42" s="68">
        <f>0</f>
        <v>0</v>
      </c>
      <c r="Q42" s="68">
        <f>0</f>
        <v>0</v>
      </c>
      <c r="R42" s="68">
        <f>0</f>
        <v>0</v>
      </c>
      <c r="S42" s="68">
        <f>0</f>
        <v>0</v>
      </c>
      <c r="T42" s="68">
        <f>0</f>
        <v>0</v>
      </c>
      <c r="U42" s="68">
        <f>0</f>
        <v>0</v>
      </c>
      <c r="V42" s="68">
        <f>0</f>
        <v>0</v>
      </c>
      <c r="W42" s="68">
        <f>0</f>
        <v>0</v>
      </c>
    </row>
    <row r="43" spans="1:23" ht="14.5" customHeight="1" x14ac:dyDescent="0.3">
      <c r="A43" s="69" t="s">
        <v>203</v>
      </c>
      <c r="B43" s="66" t="s">
        <v>89</v>
      </c>
      <c r="C43" s="65"/>
      <c r="D43" s="67"/>
      <c r="E43" s="62"/>
      <c r="F43" s="62"/>
      <c r="G43" s="67"/>
      <c r="H43" s="70">
        <f t="shared" ref="H43:W43" si="15">H41+H42</f>
        <v>-12500</v>
      </c>
      <c r="I43" s="70">
        <f t="shared" si="15"/>
        <v>-625</v>
      </c>
      <c r="J43" s="70">
        <f t="shared" si="15"/>
        <v>-656.25</v>
      </c>
      <c r="K43" s="70">
        <f t="shared" si="15"/>
        <v>-689.0625</v>
      </c>
      <c r="L43" s="70">
        <f t="shared" si="15"/>
        <v>-723.515625</v>
      </c>
      <c r="M43" s="70">
        <f t="shared" si="15"/>
        <v>-759.69140625</v>
      </c>
      <c r="N43" s="70">
        <f t="shared" si="15"/>
        <v>-797.67597656249927</v>
      </c>
      <c r="O43" s="70">
        <f t="shared" si="15"/>
        <v>-837.55977539062587</v>
      </c>
      <c r="P43" s="70">
        <f t="shared" si="15"/>
        <v>-879.4377641601568</v>
      </c>
      <c r="Q43" s="70">
        <f t="shared" si="15"/>
        <v>-923.40965236816555</v>
      </c>
      <c r="R43" s="70">
        <f t="shared" si="15"/>
        <v>-969.58013498657238</v>
      </c>
      <c r="S43" s="70">
        <f t="shared" si="15"/>
        <v>-1018.0591417359028</v>
      </c>
      <c r="T43" s="70">
        <f t="shared" si="15"/>
        <v>-1068.9620988226961</v>
      </c>
      <c r="U43" s="70">
        <f t="shared" si="15"/>
        <v>-1122.4102037638295</v>
      </c>
      <c r="V43" s="70">
        <f t="shared" si="15"/>
        <v>-1178.5307139520228</v>
      </c>
      <c r="W43" s="70">
        <f t="shared" si="15"/>
        <v>-1237.4572496496221</v>
      </c>
    </row>
    <row r="44" spans="1:23" ht="14.5" customHeight="1" x14ac:dyDescent="0.25">
      <c r="A44" s="65" t="s">
        <v>204</v>
      </c>
      <c r="B44" s="66" t="s">
        <v>89</v>
      </c>
      <c r="C44" s="65"/>
      <c r="D44" s="67"/>
      <c r="E44" s="62"/>
      <c r="F44" s="62"/>
      <c r="G44" s="67"/>
      <c r="H44" s="68">
        <f>Расчеты!H55</f>
        <v>11875</v>
      </c>
      <c r="I44" s="68">
        <f>Расчеты!I55</f>
        <v>0</v>
      </c>
      <c r="J44" s="68">
        <f>Расчеты!J55</f>
        <v>0</v>
      </c>
      <c r="K44" s="68">
        <f>Расчеты!K55</f>
        <v>0</v>
      </c>
      <c r="L44" s="68">
        <f>Расчеты!L55</f>
        <v>0</v>
      </c>
      <c r="M44" s="68">
        <f>Расчеты!M55</f>
        <v>0</v>
      </c>
      <c r="N44" s="68">
        <f>Расчеты!N55</f>
        <v>0</v>
      </c>
      <c r="O44" s="68">
        <f>Расчеты!O55</f>
        <v>0</v>
      </c>
      <c r="P44" s="68">
        <f>Расчеты!P55</f>
        <v>0</v>
      </c>
      <c r="Q44" s="68">
        <f>Расчеты!Q55</f>
        <v>0</v>
      </c>
      <c r="R44" s="68">
        <f>Расчеты!R55</f>
        <v>0</v>
      </c>
      <c r="S44" s="68">
        <f>Расчеты!S55</f>
        <v>0</v>
      </c>
      <c r="T44" s="68">
        <f>Расчеты!T55</f>
        <v>0</v>
      </c>
      <c r="U44" s="68">
        <f>Расчеты!U55</f>
        <v>0</v>
      </c>
      <c r="V44" s="68">
        <f>Расчеты!V55</f>
        <v>0</v>
      </c>
      <c r="W44" s="68">
        <f>Расчеты!W55</f>
        <v>0</v>
      </c>
    </row>
    <row r="45" spans="1:23" ht="14.5" customHeight="1" x14ac:dyDescent="0.25">
      <c r="A45" s="65" t="s">
        <v>205</v>
      </c>
      <c r="B45" s="66" t="s">
        <v>89</v>
      </c>
      <c r="C45" s="65"/>
      <c r="D45" s="67"/>
      <c r="E45" s="62"/>
      <c r="F45" s="62"/>
      <c r="G45" s="67"/>
      <c r="H45" s="68">
        <f>-Расчеты!H56</f>
        <v>0</v>
      </c>
      <c r="I45" s="68">
        <f>-Расчеты!I56</f>
        <v>-848.21428571428567</v>
      </c>
      <c r="J45" s="68">
        <f>-Расчеты!J56</f>
        <v>-848.21428571428567</v>
      </c>
      <c r="K45" s="68">
        <f>-Расчеты!K56</f>
        <v>-848.21428571428567</v>
      </c>
      <c r="L45" s="68">
        <f>-Расчеты!L56</f>
        <v>-848.21428571428567</v>
      </c>
      <c r="M45" s="68">
        <f>-Расчеты!M56</f>
        <v>-848.21428571428567</v>
      </c>
      <c r="N45" s="68">
        <f>-Расчеты!N56</f>
        <v>-848.21428571428567</v>
      </c>
      <c r="O45" s="68">
        <f>-Расчеты!O56</f>
        <v>-848.21428571428567</v>
      </c>
      <c r="P45" s="68">
        <f>-Расчеты!P56</f>
        <v>-848.21428571428567</v>
      </c>
      <c r="Q45" s="68">
        <f>-Расчеты!Q56</f>
        <v>-848.21428571428567</v>
      </c>
      <c r="R45" s="68">
        <f>-Расчеты!R56</f>
        <v>-848.21428571428567</v>
      </c>
      <c r="S45" s="68">
        <f>-Расчеты!S56</f>
        <v>-848.21428571428567</v>
      </c>
      <c r="T45" s="68">
        <f>-Расчеты!T56</f>
        <v>-848.21428571428567</v>
      </c>
      <c r="U45" s="68">
        <f>-Расчеты!U56</f>
        <v>-848.21428571428567</v>
      </c>
      <c r="V45" s="68">
        <f>-Расчеты!V56</f>
        <v>-848.21428571428567</v>
      </c>
      <c r="W45" s="68">
        <f>-Расчеты!W56</f>
        <v>0</v>
      </c>
    </row>
    <row r="46" spans="1:23" ht="14.5" customHeight="1" x14ac:dyDescent="0.25">
      <c r="A46" s="74" t="s">
        <v>206</v>
      </c>
      <c r="B46" s="75" t="s">
        <v>89</v>
      </c>
      <c r="C46" s="74"/>
      <c r="D46" s="76"/>
      <c r="E46" s="62"/>
      <c r="F46" s="62"/>
      <c r="G46" s="76"/>
      <c r="H46" s="77">
        <f>Расчеты!H51</f>
        <v>4000</v>
      </c>
      <c r="I46" s="77">
        <f>Расчеты!I51</f>
        <v>5000</v>
      </c>
      <c r="J46" s="77">
        <f>Расчеты!J51</f>
        <v>0</v>
      </c>
      <c r="K46" s="77">
        <f>Расчеты!K51</f>
        <v>0</v>
      </c>
      <c r="L46" s="77">
        <f>Расчеты!L51</f>
        <v>0</v>
      </c>
      <c r="M46" s="77">
        <f>Расчеты!M51</f>
        <v>0</v>
      </c>
      <c r="N46" s="77">
        <f>Расчеты!N51</f>
        <v>0</v>
      </c>
      <c r="O46" s="77">
        <f>Расчеты!O51</f>
        <v>0</v>
      </c>
      <c r="P46" s="77">
        <f>Расчеты!P51</f>
        <v>0</v>
      </c>
      <c r="Q46" s="77">
        <f>Расчеты!Q51</f>
        <v>0</v>
      </c>
      <c r="R46" s="77">
        <f>Расчеты!R51</f>
        <v>0</v>
      </c>
      <c r="S46" s="77">
        <f>Расчеты!S51</f>
        <v>0</v>
      </c>
      <c r="T46" s="77">
        <f>Расчеты!T51</f>
        <v>0</v>
      </c>
      <c r="U46" s="77">
        <f>Расчеты!U51</f>
        <v>0</v>
      </c>
      <c r="V46" s="77">
        <f>Расчеты!V51</f>
        <v>0</v>
      </c>
      <c r="W46" s="77">
        <f>Расчеты!W51</f>
        <v>0</v>
      </c>
    </row>
    <row r="47" spans="1:23" ht="13" customHeight="1" x14ac:dyDescent="0.3">
      <c r="A47" s="78" t="s">
        <v>207</v>
      </c>
      <c r="B47" s="79" t="s">
        <v>89</v>
      </c>
      <c r="C47" s="79"/>
      <c r="D47" s="79"/>
      <c r="E47" s="79"/>
      <c r="F47" s="79"/>
      <c r="G47" s="79"/>
      <c r="H47" s="73">
        <f t="shared" ref="H47:W47" si="16">SUM(H44:H46)</f>
        <v>15875</v>
      </c>
      <c r="I47" s="73">
        <f t="shared" si="16"/>
        <v>4151.7857142857147</v>
      </c>
      <c r="J47" s="73">
        <f t="shared" si="16"/>
        <v>-848.21428571428567</v>
      </c>
      <c r="K47" s="73">
        <f t="shared" si="16"/>
        <v>-848.21428571428567</v>
      </c>
      <c r="L47" s="73">
        <f t="shared" si="16"/>
        <v>-848.21428571428567</v>
      </c>
      <c r="M47" s="73">
        <f t="shared" si="16"/>
        <v>-848.21428571428567</v>
      </c>
      <c r="N47" s="73">
        <f t="shared" si="16"/>
        <v>-848.21428571428567</v>
      </c>
      <c r="O47" s="73">
        <f t="shared" si="16"/>
        <v>-848.21428571428567</v>
      </c>
      <c r="P47" s="73">
        <f t="shared" si="16"/>
        <v>-848.21428571428567</v>
      </c>
      <c r="Q47" s="73">
        <f t="shared" si="16"/>
        <v>-848.21428571428567</v>
      </c>
      <c r="R47" s="73">
        <f t="shared" si="16"/>
        <v>-848.21428571428567</v>
      </c>
      <c r="S47" s="73">
        <f t="shared" si="16"/>
        <v>-848.21428571428567</v>
      </c>
      <c r="T47" s="73">
        <f t="shared" si="16"/>
        <v>-848.21428571428567</v>
      </c>
      <c r="U47" s="73">
        <f t="shared" si="16"/>
        <v>-848.21428571428567</v>
      </c>
      <c r="V47" s="73">
        <f t="shared" si="16"/>
        <v>-848.21428571428567</v>
      </c>
      <c r="W47" s="73">
        <f t="shared" si="16"/>
        <v>0</v>
      </c>
    </row>
    <row r="48" spans="1:23" ht="13" customHeight="1" x14ac:dyDescent="0.3">
      <c r="A48" s="78" t="s">
        <v>208</v>
      </c>
      <c r="B48" s="79" t="s">
        <v>89</v>
      </c>
      <c r="C48" s="79"/>
      <c r="D48" s="79"/>
      <c r="E48" s="79"/>
      <c r="F48" s="79"/>
      <c r="G48" s="79"/>
      <c r="H48" s="73">
        <f t="shared" ref="H48:W48" si="17">H40+H43+H47</f>
        <v>-1589.3687500000015</v>
      </c>
      <c r="I48" s="73">
        <f t="shared" si="17"/>
        <v>2148.702054355741</v>
      </c>
      <c r="J48" s="73">
        <f t="shared" si="17"/>
        <v>482.54479444547212</v>
      </c>
      <c r="K48" s="73">
        <f t="shared" si="17"/>
        <v>-960.61928008157929</v>
      </c>
      <c r="L48" s="73">
        <f t="shared" si="17"/>
        <v>-297.47831307652393</v>
      </c>
      <c r="M48" s="73">
        <f t="shared" si="17"/>
        <v>717.39776333849943</v>
      </c>
      <c r="N48" s="73">
        <f t="shared" si="17"/>
        <v>1764.6555963480691</v>
      </c>
      <c r="O48" s="73">
        <f t="shared" si="17"/>
        <v>2179.9445926933722</v>
      </c>
      <c r="P48" s="73">
        <f t="shared" si="17"/>
        <v>2074.6311859762577</v>
      </c>
      <c r="Q48" s="73">
        <f t="shared" si="17"/>
        <v>1814.612074279938</v>
      </c>
      <c r="R48" s="73">
        <f t="shared" si="17"/>
        <v>1813.24139722465</v>
      </c>
      <c r="S48" s="73">
        <f t="shared" si="17"/>
        <v>1809.8949355279624</v>
      </c>
      <c r="T48" s="73">
        <f t="shared" si="17"/>
        <v>1413.2907336980156</v>
      </c>
      <c r="U48" s="73">
        <f t="shared" si="17"/>
        <v>1397.8786963550028</v>
      </c>
      <c r="V48" s="73">
        <f t="shared" si="17"/>
        <v>1380.0352380392492</v>
      </c>
      <c r="W48" s="73">
        <f t="shared" si="17"/>
        <v>2200.2286278574611</v>
      </c>
    </row>
    <row r="49" spans="1:23" ht="12.5" customHeight="1" x14ac:dyDescent="0.25">
      <c r="A49" s="79" t="s">
        <v>209</v>
      </c>
      <c r="B49" s="79" t="s">
        <v>89</v>
      </c>
      <c r="C49" s="79"/>
      <c r="D49" s="79"/>
      <c r="E49" s="79"/>
      <c r="F49" s="79"/>
      <c r="G49" s="79"/>
      <c r="H49" s="80">
        <f>Допущения!G78</f>
        <v>1850</v>
      </c>
      <c r="I49" s="80">
        <f t="shared" ref="I49:W49" si="18">H50</f>
        <v>260.63124999999854</v>
      </c>
      <c r="J49" s="80">
        <f t="shared" si="18"/>
        <v>2409.3333043557395</v>
      </c>
      <c r="K49" s="80">
        <f t="shared" si="18"/>
        <v>2891.8780988012118</v>
      </c>
      <c r="L49" s="80">
        <f t="shared" si="18"/>
        <v>1931.2588187196325</v>
      </c>
      <c r="M49" s="80">
        <f t="shared" si="18"/>
        <v>1633.7805056431084</v>
      </c>
      <c r="N49" s="80">
        <f t="shared" si="18"/>
        <v>2351.1782689816077</v>
      </c>
      <c r="O49" s="80">
        <f t="shared" si="18"/>
        <v>4115.8338653296769</v>
      </c>
      <c r="P49" s="80">
        <f t="shared" si="18"/>
        <v>6295.7784580230491</v>
      </c>
      <c r="Q49" s="80">
        <f t="shared" si="18"/>
        <v>8370.4096439993064</v>
      </c>
      <c r="R49" s="80">
        <f t="shared" si="18"/>
        <v>10185.021718279244</v>
      </c>
      <c r="S49" s="80">
        <f t="shared" si="18"/>
        <v>11998.263115503894</v>
      </c>
      <c r="T49" s="80">
        <f t="shared" si="18"/>
        <v>13808.158051031856</v>
      </c>
      <c r="U49" s="80">
        <f t="shared" si="18"/>
        <v>15221.448784729871</v>
      </c>
      <c r="V49" s="80">
        <f t="shared" si="18"/>
        <v>16619.327481084874</v>
      </c>
      <c r="W49" s="80">
        <f t="shared" si="18"/>
        <v>17999.362719124125</v>
      </c>
    </row>
    <row r="50" spans="1:23" ht="13" customHeight="1" x14ac:dyDescent="0.3">
      <c r="A50" s="78" t="s">
        <v>210</v>
      </c>
      <c r="B50" s="79" t="s">
        <v>89</v>
      </c>
      <c r="C50" s="79"/>
      <c r="D50" s="79"/>
      <c r="E50" s="79"/>
      <c r="F50" s="79"/>
      <c r="G50" s="79"/>
      <c r="H50" s="73">
        <f t="shared" ref="H50:W50" si="19">H49+H48</f>
        <v>260.63124999999854</v>
      </c>
      <c r="I50" s="73">
        <f t="shared" si="19"/>
        <v>2409.3333043557395</v>
      </c>
      <c r="J50" s="73">
        <f t="shared" si="19"/>
        <v>2891.8780988012118</v>
      </c>
      <c r="K50" s="73">
        <f t="shared" si="19"/>
        <v>1931.2588187196325</v>
      </c>
      <c r="L50" s="73">
        <f t="shared" si="19"/>
        <v>1633.7805056431084</v>
      </c>
      <c r="M50" s="73">
        <f t="shared" si="19"/>
        <v>2351.1782689816077</v>
      </c>
      <c r="N50" s="73">
        <f t="shared" si="19"/>
        <v>4115.8338653296769</v>
      </c>
      <c r="O50" s="73">
        <f t="shared" si="19"/>
        <v>6295.7784580230491</v>
      </c>
      <c r="P50" s="73">
        <f t="shared" si="19"/>
        <v>8370.4096439993064</v>
      </c>
      <c r="Q50" s="73">
        <f t="shared" si="19"/>
        <v>10185.021718279244</v>
      </c>
      <c r="R50" s="73">
        <f t="shared" si="19"/>
        <v>11998.263115503894</v>
      </c>
      <c r="S50" s="73">
        <f t="shared" si="19"/>
        <v>13808.158051031856</v>
      </c>
      <c r="T50" s="73">
        <f t="shared" si="19"/>
        <v>15221.448784729871</v>
      </c>
      <c r="U50" s="73">
        <f t="shared" si="19"/>
        <v>16619.327481084874</v>
      </c>
      <c r="V50" s="73">
        <f t="shared" si="19"/>
        <v>17999.362719124125</v>
      </c>
      <c r="W50" s="73">
        <f t="shared" si="19"/>
        <v>20199.591346981586</v>
      </c>
    </row>
    <row r="51" spans="1:23" ht="13" customHeight="1" x14ac:dyDescent="0.3">
      <c r="A51" s="79" t="s">
        <v>211</v>
      </c>
      <c r="B51" s="79" t="s">
        <v>89</v>
      </c>
      <c r="C51" s="79"/>
      <c r="D51" s="79"/>
      <c r="E51" s="79"/>
      <c r="F51" s="79"/>
      <c r="G51" s="79"/>
      <c r="H51" s="73">
        <f t="shared" ref="H51:W51" si="20">H50-H22</f>
        <v>0</v>
      </c>
      <c r="I51" s="73">
        <f t="shared" si="20"/>
        <v>0</v>
      </c>
      <c r="J51" s="73">
        <f t="shared" si="20"/>
        <v>0</v>
      </c>
      <c r="K51" s="73">
        <f t="shared" si="20"/>
        <v>0</v>
      </c>
      <c r="L51" s="73">
        <f t="shared" si="20"/>
        <v>0</v>
      </c>
      <c r="M51" s="73">
        <f t="shared" si="20"/>
        <v>0</v>
      </c>
      <c r="N51" s="73">
        <f t="shared" si="20"/>
        <v>0</v>
      </c>
      <c r="O51" s="73">
        <f t="shared" si="20"/>
        <v>0</v>
      </c>
      <c r="P51" s="73">
        <f t="shared" si="20"/>
        <v>0</v>
      </c>
      <c r="Q51" s="73">
        <f t="shared" si="20"/>
        <v>0</v>
      </c>
      <c r="R51" s="73">
        <f t="shared" si="20"/>
        <v>0</v>
      </c>
      <c r="S51" s="73">
        <f t="shared" si="20"/>
        <v>0</v>
      </c>
      <c r="T51" s="73">
        <f t="shared" si="20"/>
        <v>0</v>
      </c>
      <c r="U51" s="73">
        <f t="shared" si="20"/>
        <v>0</v>
      </c>
      <c r="V51" s="73">
        <f t="shared" si="20"/>
        <v>0</v>
      </c>
      <c r="W51" s="73">
        <f t="shared" si="20"/>
        <v>0</v>
      </c>
    </row>
    <row r="52" spans="1:23" ht="12.5" customHeight="1" x14ac:dyDescent="0.25">
      <c r="A52" s="62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</row>
    <row r="53" spans="1:23" ht="14.5" customHeight="1" x14ac:dyDescent="0.3">
      <c r="A53" s="98" t="s">
        <v>212</v>
      </c>
      <c r="B53" s="98"/>
      <c r="C53" s="98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</row>
    <row r="54" spans="1:23" ht="14.5" customHeight="1" x14ac:dyDescent="0.3">
      <c r="A54" s="99" t="s">
        <v>213</v>
      </c>
      <c r="B54" s="100" t="s">
        <v>214</v>
      </c>
      <c r="C54" s="101" t="s">
        <v>215</v>
      </c>
      <c r="D54" s="102"/>
      <c r="E54" s="102"/>
      <c r="F54" s="102"/>
      <c r="G54" s="102"/>
      <c r="H54" s="103">
        <f t="shared" ref="H54:W54" si="21">IFERROR(H27/H18,"")</f>
        <v>0.95</v>
      </c>
      <c r="I54" s="103">
        <f t="shared" si="21"/>
        <v>0.91256157635467972</v>
      </c>
      <c r="J54" s="103">
        <f t="shared" si="21"/>
        <v>0.87400971121901339</v>
      </c>
      <c r="K54" s="103">
        <f t="shared" si="21"/>
        <v>0.8340760645444506</v>
      </c>
      <c r="L54" s="103">
        <f t="shared" si="21"/>
        <v>0.79241891434438083</v>
      </c>
      <c r="M54" s="103">
        <f t="shared" si="21"/>
        <v>0.74859657295261461</v>
      </c>
      <c r="N54" s="103">
        <f t="shared" si="21"/>
        <v>0.70202832475298382</v>
      </c>
      <c r="O54" s="103">
        <f t="shared" si="21"/>
        <v>0.65193547034916366</v>
      </c>
      <c r="P54" s="103">
        <f t="shared" si="21"/>
        <v>0.59724955944932256</v>
      </c>
      <c r="Q54" s="103">
        <f t="shared" si="21"/>
        <v>0.53646432833828817</v>
      </c>
      <c r="R54" s="103">
        <f t="shared" si="21"/>
        <v>0.4673864605342482</v>
      </c>
      <c r="S54" s="103">
        <f t="shared" si="21"/>
        <v>0.38669414006595543</v>
      </c>
      <c r="T54" s="103">
        <f t="shared" si="21"/>
        <v>0.28910495981793904</v>
      </c>
      <c r="U54" s="103">
        <f t="shared" si="21"/>
        <v>0.16568010447747739</v>
      </c>
      <c r="V54" s="103">
        <f t="shared" si="21"/>
        <v>0</v>
      </c>
      <c r="W54" s="103">
        <f t="shared" si="21"/>
        <v>0</v>
      </c>
    </row>
    <row r="55" spans="1:23" ht="14.5" customHeight="1" x14ac:dyDescent="0.3">
      <c r="A55" s="99" t="s">
        <v>216</v>
      </c>
      <c r="B55" s="100" t="s">
        <v>214</v>
      </c>
      <c r="C55" s="101" t="s">
        <v>217</v>
      </c>
      <c r="D55" s="102"/>
      <c r="E55" s="102"/>
      <c r="F55" s="102"/>
      <c r="G55" s="102"/>
      <c r="H55" s="102"/>
      <c r="I55" s="102"/>
      <c r="J55" s="102"/>
      <c r="K55" s="103">
        <f t="shared" ref="K55:W55" si="22">IFERROR(K27/SUM(H9:K9),"")</f>
        <v>-3.2939185640058963</v>
      </c>
      <c r="L55" s="103">
        <f t="shared" si="22"/>
        <v>8.5594452738142213</v>
      </c>
      <c r="M55" s="103">
        <f t="shared" si="22"/>
        <v>1.5387035424724418</v>
      </c>
      <c r="N55" s="103">
        <f t="shared" si="22"/>
        <v>0.74812960771730908</v>
      </c>
      <c r="O55" s="103">
        <f t="shared" si="22"/>
        <v>0.47588215652926691</v>
      </c>
      <c r="P55" s="103">
        <f t="shared" si="22"/>
        <v>0.33722131104164749</v>
      </c>
      <c r="Q55" s="103">
        <f t="shared" si="22"/>
        <v>0.25575957688187034</v>
      </c>
      <c r="R55" s="103">
        <f t="shared" si="22"/>
        <v>0.20064251052462131</v>
      </c>
      <c r="S55" s="103">
        <f t="shared" si="22"/>
        <v>0.15085300300472335</v>
      </c>
      <c r="T55" s="103">
        <f t="shared" si="22"/>
        <v>0.1031319032115645</v>
      </c>
      <c r="U55" s="103">
        <f t="shared" si="22"/>
        <v>5.2954281751414665E-2</v>
      </c>
      <c r="V55" s="103">
        <f t="shared" si="22"/>
        <v>0</v>
      </c>
      <c r="W55" s="103">
        <f t="shared" si="22"/>
        <v>0</v>
      </c>
    </row>
    <row r="56" spans="1:23" ht="14.5" customHeight="1" x14ac:dyDescent="0.3">
      <c r="A56" s="99" t="s">
        <v>218</v>
      </c>
      <c r="B56" s="100" t="s">
        <v>214</v>
      </c>
      <c r="C56" s="101" t="s">
        <v>219</v>
      </c>
      <c r="D56" s="102"/>
      <c r="E56" s="102"/>
      <c r="F56" s="102"/>
      <c r="G56" s="102"/>
      <c r="H56" s="102"/>
      <c r="I56" s="102"/>
      <c r="J56" s="102"/>
      <c r="K56" s="103">
        <f t="shared" ref="K56:W56" si="23">IFERROR((K27-K22)/SUM(H9:K9),"")</f>
        <v>-2.6121215890904534</v>
      </c>
      <c r="L56" s="103">
        <f t="shared" si="23"/>
        <v>6.9107752309959141</v>
      </c>
      <c r="M56" s="103">
        <f t="shared" si="23"/>
        <v>1.0647973095786207</v>
      </c>
      <c r="N56" s="103">
        <f t="shared" si="23"/>
        <v>0.29435612928171001</v>
      </c>
      <c r="O56" s="103">
        <f t="shared" si="23"/>
        <v>-2.8715507409177176E-2</v>
      </c>
      <c r="P56" s="103">
        <f t="shared" si="23"/>
        <v>-0.21741064962461704</v>
      </c>
      <c r="Q56" s="103">
        <f t="shared" si="23"/>
        <v>-0.35845239503891507</v>
      </c>
      <c r="R56" s="103">
        <f t="shared" si="23"/>
        <v>-0.50889565511780654</v>
      </c>
      <c r="S56" s="103">
        <f t="shared" si="23"/>
        <v>-0.66773028152771319</v>
      </c>
      <c r="T56" s="103">
        <f t="shared" si="23"/>
        <v>-0.82223389717966355</v>
      </c>
      <c r="U56" s="103">
        <f t="shared" si="23"/>
        <v>-0.98459550345562208</v>
      </c>
      <c r="V56" s="103">
        <f t="shared" si="23"/>
        <v>-1.1557087585293426</v>
      </c>
      <c r="W56" s="103">
        <f t="shared" si="23"/>
        <v>-1.3361144299742946</v>
      </c>
    </row>
    <row r="57" spans="1:23" ht="14.5" customHeight="1" x14ac:dyDescent="0.3">
      <c r="A57" s="99" t="s">
        <v>220</v>
      </c>
      <c r="B57" s="100" t="s">
        <v>214</v>
      </c>
      <c r="C57" s="101" t="s">
        <v>221</v>
      </c>
      <c r="D57" s="102"/>
      <c r="E57" s="102"/>
      <c r="F57" s="102"/>
      <c r="G57" s="102"/>
      <c r="H57" s="102"/>
      <c r="I57" s="102"/>
      <c r="J57" s="102"/>
      <c r="K57" s="103">
        <f t="shared" ref="K57:W57" si="24">IFERROR(SUM(H11:K11)/-SUM(H12:K12),"")</f>
        <v>-7.2019762970090415</v>
      </c>
      <c r="L57" s="103">
        <f t="shared" si="24"/>
        <v>-3.819292550735621</v>
      </c>
      <c r="M57" s="103">
        <f t="shared" si="24"/>
        <v>0.29422945587971988</v>
      </c>
      <c r="N57" s="103">
        <f t="shared" si="24"/>
        <v>5.3973910058910963</v>
      </c>
      <c r="O57" s="103">
        <f t="shared" si="24"/>
        <v>10.595132682806067</v>
      </c>
      <c r="P57" s="103">
        <f t="shared" si="24"/>
        <v>15.775874964471518</v>
      </c>
      <c r="Q57" s="103">
        <f t="shared" si="24"/>
        <v>20.308060684627893</v>
      </c>
      <c r="R57" s="103">
        <f t="shared" si="24"/>
        <v>23.782678267836015</v>
      </c>
      <c r="S57" s="103">
        <f t="shared" si="24"/>
        <v>27.642078941274303</v>
      </c>
      <c r="T57" s="103">
        <f t="shared" si="24"/>
        <v>32.145190833149279</v>
      </c>
      <c r="U57" s="103">
        <f t="shared" si="24"/>
        <v>39.528974214574397</v>
      </c>
      <c r="V57" s="103">
        <f t="shared" si="24"/>
        <v>54.107373477642803</v>
      </c>
      <c r="W57" s="103">
        <f t="shared" si="24"/>
        <v>86.621786075767588</v>
      </c>
    </row>
    <row r="58" spans="1:23" ht="14.5" customHeight="1" x14ac:dyDescent="0.3">
      <c r="A58" s="99" t="s">
        <v>222</v>
      </c>
      <c r="B58" s="100" t="s">
        <v>214</v>
      </c>
      <c r="C58" s="101" t="s">
        <v>223</v>
      </c>
      <c r="D58" s="102"/>
      <c r="E58" s="102"/>
      <c r="F58" s="102"/>
      <c r="G58" s="102"/>
      <c r="H58" s="102"/>
      <c r="I58" s="102"/>
      <c r="J58" s="102"/>
      <c r="K58" s="103">
        <f t="shared" ref="K58:W58" si="25">IFERROR(K61/K62,"")</f>
        <v>1.0239424855958796</v>
      </c>
      <c r="L58" s="103">
        <f t="shared" si="25"/>
        <v>1.3186753349192466</v>
      </c>
      <c r="M58" s="103">
        <f t="shared" si="25"/>
        <v>0.98626017516738174</v>
      </c>
      <c r="N58" s="103">
        <f t="shared" si="25"/>
        <v>1.2944855979617358</v>
      </c>
      <c r="O58" s="103">
        <f t="shared" si="25"/>
        <v>2.0697586160454815</v>
      </c>
      <c r="P58" s="103">
        <f t="shared" si="25"/>
        <v>2.6826549141300049</v>
      </c>
      <c r="Q58" s="103">
        <f t="shared" si="25"/>
        <v>2.9947492697995579</v>
      </c>
      <c r="R58" s="103">
        <f t="shared" si="25"/>
        <v>3.0469095201008871</v>
      </c>
      <c r="S58" s="103">
        <f t="shared" si="25"/>
        <v>2.9902696970242144</v>
      </c>
      <c r="T58" s="103">
        <f t="shared" si="25"/>
        <v>2.8525262765857642</v>
      </c>
      <c r="U58" s="103">
        <f t="shared" si="25"/>
        <v>2.7765123762707526</v>
      </c>
      <c r="V58" s="103">
        <f t="shared" si="25"/>
        <v>2.692579087397295</v>
      </c>
      <c r="W58" s="103">
        <f t="shared" si="25"/>
        <v>3.4297181667710208</v>
      </c>
    </row>
    <row r="59" spans="1:23" ht="14.5" customHeight="1" x14ac:dyDescent="0.25">
      <c r="A59" s="101" t="s">
        <v>224</v>
      </c>
      <c r="B59" s="100" t="s">
        <v>89</v>
      </c>
      <c r="C59" s="101" t="s">
        <v>225</v>
      </c>
      <c r="D59" s="102"/>
      <c r="E59" s="102"/>
      <c r="F59" s="102"/>
      <c r="G59" s="102"/>
      <c r="H59" s="104">
        <f t="shared" ref="H59:W59" si="26">H40+H43+H44+H46-H12</f>
        <v>-1455.7750000000015</v>
      </c>
      <c r="I59" s="104">
        <f t="shared" si="26"/>
        <v>3254.5614293557405</v>
      </c>
      <c r="J59" s="104">
        <f t="shared" si="26"/>
        <v>1569.3193480169007</v>
      </c>
      <c r="K59" s="104">
        <f t="shared" si="26"/>
        <v>107.07045206127776</v>
      </c>
      <c r="L59" s="104">
        <f t="shared" si="26"/>
        <v>751.12659763776173</v>
      </c>
      <c r="M59" s="104">
        <f t="shared" si="26"/>
        <v>1746.9178526242135</v>
      </c>
      <c r="N59" s="104">
        <f t="shared" si="26"/>
        <v>2775.0908642052118</v>
      </c>
      <c r="O59" s="104">
        <f t="shared" si="26"/>
        <v>3171.2950391219438</v>
      </c>
      <c r="P59" s="104">
        <f t="shared" si="26"/>
        <v>3046.8968109762577</v>
      </c>
      <c r="Q59" s="104">
        <f t="shared" si="26"/>
        <v>2767.7928778513665</v>
      </c>
      <c r="R59" s="104">
        <f t="shared" si="26"/>
        <v>2747.3373793675073</v>
      </c>
      <c r="S59" s="104">
        <f t="shared" si="26"/>
        <v>2724.9060962422482</v>
      </c>
      <c r="T59" s="104">
        <f t="shared" si="26"/>
        <v>2309.2170729837298</v>
      </c>
      <c r="U59" s="104">
        <f t="shared" si="26"/>
        <v>2274.7202142121459</v>
      </c>
      <c r="V59" s="104">
        <f t="shared" si="26"/>
        <v>2237.7919344678207</v>
      </c>
      <c r="W59" s="104">
        <f t="shared" si="26"/>
        <v>2200.2286278574611</v>
      </c>
    </row>
    <row r="60" spans="1:23" ht="14.5" customHeight="1" x14ac:dyDescent="0.25">
      <c r="A60" s="101" t="s">
        <v>226</v>
      </c>
      <c r="B60" s="100" t="s">
        <v>89</v>
      </c>
      <c r="C60" s="101" t="s">
        <v>227</v>
      </c>
      <c r="D60" s="102"/>
      <c r="E60" s="102"/>
      <c r="F60" s="102"/>
      <c r="G60" s="102"/>
      <c r="H60" s="104">
        <f t="shared" ref="H60:W60" si="27">-H12-H45</f>
        <v>133.59375</v>
      </c>
      <c r="I60" s="104">
        <f t="shared" si="27"/>
        <v>1105.859375</v>
      </c>
      <c r="J60" s="104">
        <f t="shared" si="27"/>
        <v>1086.7745535714284</v>
      </c>
      <c r="K60" s="104">
        <f t="shared" si="27"/>
        <v>1067.6897321428571</v>
      </c>
      <c r="L60" s="104">
        <f t="shared" si="27"/>
        <v>1048.6049107142856</v>
      </c>
      <c r="M60" s="104">
        <f t="shared" si="27"/>
        <v>1029.5200892857142</v>
      </c>
      <c r="N60" s="104">
        <f t="shared" si="27"/>
        <v>1010.4352678571428</v>
      </c>
      <c r="O60" s="104">
        <f t="shared" si="27"/>
        <v>991.35044642857133</v>
      </c>
      <c r="P60" s="104">
        <f t="shared" si="27"/>
        <v>972.265625</v>
      </c>
      <c r="Q60" s="104">
        <f t="shared" si="27"/>
        <v>953.18080357142844</v>
      </c>
      <c r="R60" s="104">
        <f t="shared" si="27"/>
        <v>934.09598214285711</v>
      </c>
      <c r="S60" s="104">
        <f t="shared" si="27"/>
        <v>915.01116071428567</v>
      </c>
      <c r="T60" s="104">
        <f t="shared" si="27"/>
        <v>895.92633928571422</v>
      </c>
      <c r="U60" s="104">
        <f t="shared" si="27"/>
        <v>876.84151785714278</v>
      </c>
      <c r="V60" s="104">
        <f t="shared" si="27"/>
        <v>857.75669642857133</v>
      </c>
      <c r="W60" s="104">
        <f t="shared" si="27"/>
        <v>0</v>
      </c>
    </row>
    <row r="61" spans="1:23" ht="14.5" customHeight="1" x14ac:dyDescent="0.25">
      <c r="A61" s="101" t="s">
        <v>228</v>
      </c>
      <c r="B61" s="100" t="s">
        <v>89</v>
      </c>
      <c r="C61" s="101" t="s">
        <v>229</v>
      </c>
      <c r="D61" s="102"/>
      <c r="E61" s="102"/>
      <c r="F61" s="102"/>
      <c r="G61" s="102"/>
      <c r="H61" s="102"/>
      <c r="I61" s="102"/>
      <c r="J61" s="102"/>
      <c r="K61" s="104">
        <f t="shared" ref="K61:W62" si="28">SUM(H59:K59)</f>
        <v>3475.1762294339173</v>
      </c>
      <c r="L61" s="104">
        <f t="shared" si="28"/>
        <v>5682.077827071681</v>
      </c>
      <c r="M61" s="104">
        <f t="shared" si="28"/>
        <v>4174.4342503401531</v>
      </c>
      <c r="N61" s="104">
        <f t="shared" si="28"/>
        <v>5380.2057665284647</v>
      </c>
      <c r="O61" s="104">
        <f t="shared" si="28"/>
        <v>8444.4303535891304</v>
      </c>
      <c r="P61" s="104">
        <f t="shared" si="28"/>
        <v>10740.200566927626</v>
      </c>
      <c r="Q61" s="104">
        <f t="shared" si="28"/>
        <v>11761.075592154781</v>
      </c>
      <c r="R61" s="104">
        <f t="shared" si="28"/>
        <v>11733.322107317075</v>
      </c>
      <c r="S61" s="104">
        <f t="shared" si="28"/>
        <v>11286.93316443738</v>
      </c>
      <c r="T61" s="104">
        <f t="shared" si="28"/>
        <v>10549.253426444851</v>
      </c>
      <c r="U61" s="104">
        <f t="shared" si="28"/>
        <v>10056.18076280563</v>
      </c>
      <c r="V61" s="104">
        <f t="shared" si="28"/>
        <v>9546.6353179059442</v>
      </c>
      <c r="W61" s="104">
        <f t="shared" si="28"/>
        <v>9021.9578495211572</v>
      </c>
    </row>
    <row r="62" spans="1:23" ht="14.5" customHeight="1" x14ac:dyDescent="0.25">
      <c r="A62" s="101" t="s">
        <v>230</v>
      </c>
      <c r="B62" s="100" t="s">
        <v>89</v>
      </c>
      <c r="C62" s="101" t="s">
        <v>231</v>
      </c>
      <c r="D62" s="102"/>
      <c r="E62" s="102"/>
      <c r="F62" s="102"/>
      <c r="G62" s="102"/>
      <c r="H62" s="102"/>
      <c r="I62" s="102"/>
      <c r="J62" s="102"/>
      <c r="K62" s="104">
        <f t="shared" si="28"/>
        <v>3393.9174107142853</v>
      </c>
      <c r="L62" s="104">
        <f t="shared" si="28"/>
        <v>4308.9285714285706</v>
      </c>
      <c r="M62" s="104">
        <f t="shared" si="28"/>
        <v>4232.5892857142844</v>
      </c>
      <c r="N62" s="104">
        <f t="shared" si="28"/>
        <v>4156.25</v>
      </c>
      <c r="O62" s="104">
        <f t="shared" si="28"/>
        <v>4079.9107142857138</v>
      </c>
      <c r="P62" s="104">
        <f t="shared" si="28"/>
        <v>4003.5714285714284</v>
      </c>
      <c r="Q62" s="104">
        <f t="shared" si="28"/>
        <v>3927.2321428571427</v>
      </c>
      <c r="R62" s="104">
        <f t="shared" si="28"/>
        <v>3850.8928571428569</v>
      </c>
      <c r="S62" s="104">
        <f t="shared" si="28"/>
        <v>3774.5535714285711</v>
      </c>
      <c r="T62" s="104">
        <f t="shared" si="28"/>
        <v>3698.2142857142853</v>
      </c>
      <c r="U62" s="104">
        <f t="shared" si="28"/>
        <v>3621.8749999999995</v>
      </c>
      <c r="V62" s="104">
        <f t="shared" si="28"/>
        <v>3545.5357142857138</v>
      </c>
      <c r="W62" s="104">
        <f t="shared" si="28"/>
        <v>2630.5245535714284</v>
      </c>
    </row>
  </sheetData>
  <mergeCells count="3">
    <mergeCell ref="C1:C2"/>
    <mergeCell ref="B1:B2"/>
    <mergeCell ref="A1:A2"/>
  </mergeCells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140"/>
  <sheetViews>
    <sheetView workbookViewId="0"/>
  </sheetViews>
  <sheetFormatPr defaultColWidth="12.6328125" defaultRowHeight="15.75" customHeight="1" x14ac:dyDescent="0.25"/>
  <cols>
    <col min="1" max="1" width="55.1796875" style="8" bestFit="1" customWidth="1"/>
    <col min="2" max="2" width="10" style="8" customWidth="1"/>
    <col min="3" max="3" width="14" style="8" customWidth="1"/>
    <col min="4" max="4" width="8" style="8" customWidth="1"/>
    <col min="5" max="9" width="13" style="8" customWidth="1"/>
  </cols>
  <sheetData>
    <row r="1" spans="1:23" ht="15.75" customHeight="1" x14ac:dyDescent="0.3">
      <c r="A1" s="95"/>
      <c r="B1" s="81" t="s">
        <v>1</v>
      </c>
      <c r="C1" s="81" t="s">
        <v>2</v>
      </c>
      <c r="D1" s="81" t="s">
        <v>3</v>
      </c>
      <c r="E1" s="82" t="s">
        <v>4</v>
      </c>
      <c r="F1" s="82" t="s">
        <v>5</v>
      </c>
      <c r="G1" s="82" t="s">
        <v>6</v>
      </c>
      <c r="H1" s="82" t="s">
        <v>7</v>
      </c>
      <c r="I1" s="82" t="s">
        <v>8</v>
      </c>
      <c r="J1" s="95"/>
      <c r="K1" s="95"/>
    </row>
    <row r="2" spans="1:23" s="35" customFormat="1" ht="15.75" customHeight="1" x14ac:dyDescent="0.3">
      <c r="A2" s="36" t="s">
        <v>232</v>
      </c>
      <c r="B2" s="37"/>
      <c r="C2" s="36"/>
      <c r="D2" s="34"/>
      <c r="E2" s="38"/>
      <c r="F2" s="38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15.75" customHeight="1" x14ac:dyDescent="0.25">
      <c r="A3" s="95" t="s">
        <v>177</v>
      </c>
      <c r="B3" s="95" t="s">
        <v>89</v>
      </c>
      <c r="C3" s="95"/>
      <c r="D3" s="95"/>
      <c r="E3" s="95"/>
      <c r="F3" s="83">
        <f>SUMIF(Отчетность!$G$1:$W$1,F$1,Отчетность!$G5:$W5)</f>
        <v>16530.10206280469</v>
      </c>
      <c r="G3" s="83">
        <f>SUMIF(Отчетность!$G$1:$W$1,G$1,Отчетность!$G5:$W5)</f>
        <v>61584.300724904781</v>
      </c>
      <c r="H3" s="83">
        <f>SUMIF(Отчетность!$G$1:$W$1,H$1,Отчетность!$G5:$W5)</f>
        <v>78867.954982426338</v>
      </c>
      <c r="I3" s="83">
        <f>SUMIF(Отчетность!$G$1:$W$1,I$1,Отчетность!$G5:$W5)</f>
        <v>82885.909520729154</v>
      </c>
      <c r="J3" s="95"/>
      <c r="K3" s="95"/>
    </row>
    <row r="4" spans="1:23" ht="15.75" customHeight="1" x14ac:dyDescent="0.25">
      <c r="A4" s="84" t="s">
        <v>233</v>
      </c>
      <c r="B4" s="95" t="s">
        <v>89</v>
      </c>
      <c r="C4" s="95"/>
      <c r="D4" s="95"/>
      <c r="E4" s="95"/>
      <c r="F4" s="83">
        <f>SUMIF(Отчетность!$G$1:$W$1,F$1,Отчетность!$G6:$W6)</f>
        <v>-10100.969040153208</v>
      </c>
      <c r="G4" s="83">
        <f>SUMIF(Отчетность!$G$1:$W$1,G$1,Отчетность!$G6:$W6)</f>
        <v>-37384.785024426848</v>
      </c>
      <c r="H4" s="83">
        <f>SUMIF(Отчетность!$G$1:$W$1,H$1,Отчетность!$G6:$W6)</f>
        <v>-47487.409813941777</v>
      </c>
      <c r="I4" s="83">
        <f>SUMIF(Отчетность!$G$1:$W$1,I$1,Отчетность!$G6:$W6)</f>
        <v>-50090.458947094885</v>
      </c>
      <c r="J4" s="95"/>
      <c r="K4" s="95"/>
    </row>
    <row r="5" spans="1:23" ht="15.75" customHeight="1" x14ac:dyDescent="0.25">
      <c r="A5" s="84" t="s">
        <v>234</v>
      </c>
      <c r="B5" s="95" t="s">
        <v>89</v>
      </c>
      <c r="C5" s="95"/>
      <c r="D5" s="95"/>
      <c r="E5" s="95"/>
      <c r="F5" s="83">
        <f>SUMIF(Отчетность!$G$1:$W$1,F$1,Отчетность!$G8:$W8)</f>
        <v>-9261.7340604591809</v>
      </c>
      <c r="G5" s="83">
        <f>SUMIF(Отчетность!$G$1:$W$1,G$1,Отчетность!$G8:$W8)</f>
        <v>-11722.687312324579</v>
      </c>
      <c r="H5" s="83">
        <f>SUMIF(Отчетность!$G$1:$W$1,H$1,Отчетность!$G8:$W8)</f>
        <v>-14512.184536226005</v>
      </c>
      <c r="I5" s="83">
        <f>SUMIF(Отчетность!$G$1:$W$1,I$1,Отчетность!$G8:$W8)</f>
        <v>-17677.290860794263</v>
      </c>
      <c r="J5" s="95"/>
      <c r="K5" s="95"/>
    </row>
    <row r="6" spans="1:23" s="91" customFormat="1" ht="15.75" customHeight="1" x14ac:dyDescent="0.3">
      <c r="A6" s="89" t="s">
        <v>181</v>
      </c>
      <c r="B6" s="89" t="s">
        <v>89</v>
      </c>
      <c r="C6" s="89"/>
      <c r="D6" s="89"/>
      <c r="E6" s="89"/>
      <c r="F6" s="90">
        <f>F3+F4+F5</f>
        <v>-2832.601037807699</v>
      </c>
      <c r="G6" s="90">
        <f>G3+G4+G5</f>
        <v>12476.828388153353</v>
      </c>
      <c r="H6" s="90">
        <f>H3+H4+H5</f>
        <v>16868.360632258555</v>
      </c>
      <c r="I6" s="90">
        <f>I3+I4+I5</f>
        <v>15118.159712840006</v>
      </c>
      <c r="J6" s="89"/>
      <c r="K6" s="89"/>
    </row>
    <row r="7" spans="1:23" ht="15.75" customHeight="1" x14ac:dyDescent="0.25">
      <c r="A7" s="84" t="s">
        <v>153</v>
      </c>
      <c r="B7" s="95" t="s">
        <v>89</v>
      </c>
      <c r="C7" s="95"/>
      <c r="D7" s="95"/>
      <c r="E7" s="95"/>
      <c r="F7" s="83">
        <f>SUMIF(Отчетность!$G$1:$W$1,F$1,Отчетность!$G10:$W10)</f>
        <v>-3283.854166666667</v>
      </c>
      <c r="G7" s="83">
        <f>SUMIF(Отчетность!$G$1:$W$1,G$1,Отчетность!$G10:$W10)</f>
        <v>-5197.4046386718746</v>
      </c>
      <c r="H7" s="83">
        <f>SUMIF(Отчетность!$G$1:$W$1,H$1,Отчетность!$G10:$W10)</f>
        <v>-6317.4778220846556</v>
      </c>
      <c r="I7" s="83">
        <f>SUMIF(Отчетность!$G$1:$W$1,I$1,Отчетность!$G10:$W10)</f>
        <v>-7678.9337769802896</v>
      </c>
      <c r="J7" s="95"/>
      <c r="K7" s="95"/>
    </row>
    <row r="8" spans="1:23" ht="15.75" customHeight="1" x14ac:dyDescent="0.25">
      <c r="A8" s="95" t="s">
        <v>182</v>
      </c>
      <c r="B8" s="95" t="s">
        <v>89</v>
      </c>
      <c r="C8" s="95"/>
      <c r="D8" s="95"/>
      <c r="E8" s="95"/>
      <c r="F8" s="83">
        <f>F6+F7</f>
        <v>-6116.4552044743659</v>
      </c>
      <c r="G8" s="83">
        <f>G6+G7</f>
        <v>7279.4237494814788</v>
      </c>
      <c r="H8" s="83">
        <f>H6+H7</f>
        <v>10550.882810173898</v>
      </c>
      <c r="I8" s="83">
        <f>I6+I7</f>
        <v>7439.2259358597166</v>
      </c>
      <c r="J8" s="95"/>
      <c r="K8" s="95"/>
    </row>
    <row r="9" spans="1:23" ht="15.75" customHeight="1" x14ac:dyDescent="0.25">
      <c r="A9" s="84" t="s">
        <v>161</v>
      </c>
      <c r="B9" s="95" t="s">
        <v>89</v>
      </c>
      <c r="C9" s="95"/>
      <c r="D9" s="95"/>
      <c r="E9" s="95"/>
      <c r="F9" s="83">
        <f>SUMIF(Отчетность!$G$1:$W$1,F$1,Отчетность!$G12:$W12)</f>
        <v>-849.27455357142844</v>
      </c>
      <c r="G9" s="83">
        <f>SUMIF(Отчетность!$G$1:$W$1,G$1,Отчетность!$G12:$W12)</f>
        <v>-687.05357142857122</v>
      </c>
      <c r="H9" s="83">
        <f>SUMIF(Отчетность!$G$1:$W$1,H$1,Отчетность!$G12:$W12)</f>
        <v>-381.69642857142856</v>
      </c>
      <c r="I9" s="83">
        <f>SUMIF(Отчетность!$G$1:$W$1,I$1,Отчетность!$G12:$W12)</f>
        <v>-85.881696428571402</v>
      </c>
      <c r="J9" s="95"/>
      <c r="K9" s="95"/>
    </row>
    <row r="10" spans="1:23" ht="15.75" customHeight="1" x14ac:dyDescent="0.25">
      <c r="A10" s="95" t="s">
        <v>235</v>
      </c>
      <c r="B10" s="95" t="s">
        <v>89</v>
      </c>
      <c r="C10" s="95"/>
      <c r="D10" s="95"/>
      <c r="E10" s="95"/>
      <c r="F10" s="83">
        <f>F8+F9</f>
        <v>-6965.7297580457944</v>
      </c>
      <c r="G10" s="83">
        <f>G8+G9</f>
        <v>6592.3701780529072</v>
      </c>
      <c r="H10" s="83">
        <f>H8+H9</f>
        <v>10169.186381602469</v>
      </c>
      <c r="I10" s="83">
        <f>I8+I9</f>
        <v>7353.3442394311451</v>
      </c>
      <c r="J10" s="95"/>
      <c r="K10" s="95"/>
    </row>
    <row r="11" spans="1:23" ht="15.75" customHeight="1" x14ac:dyDescent="0.25">
      <c r="A11" s="84" t="s">
        <v>106</v>
      </c>
      <c r="B11" s="95" t="s">
        <v>89</v>
      </c>
      <c r="C11" s="95"/>
      <c r="D11" s="95"/>
      <c r="E11" s="95"/>
      <c r="F11" s="83">
        <f>SUMIF(Отчетность!$G$1:$W$1,F$1,Отчетность!$G14:$W14)</f>
        <v>0</v>
      </c>
      <c r="G11" s="83">
        <f>SUMIF(Отчетность!$G$1:$W$1,G$1,Отчетность!$G14:$W14)</f>
        <v>-659.23701780529154</v>
      </c>
      <c r="H11" s="83">
        <f>SUMIF(Отчетность!$G$1:$W$1,H$1,Отчетность!$G14:$W14)</f>
        <v>-1773.7897720137266</v>
      </c>
      <c r="I11" s="83">
        <f>SUMIF(Отчетность!$G$1:$W$1,I$1,Отчетность!$G14:$W14)</f>
        <v>-1470.6688478862311</v>
      </c>
      <c r="J11" s="95"/>
      <c r="K11" s="95"/>
    </row>
    <row r="12" spans="1:23" s="91" customFormat="1" ht="15.75" customHeight="1" x14ac:dyDescent="0.3">
      <c r="A12" s="89" t="s">
        <v>185</v>
      </c>
      <c r="B12" s="89" t="s">
        <v>89</v>
      </c>
      <c r="C12" s="89"/>
      <c r="D12" s="89"/>
      <c r="E12" s="89"/>
      <c r="F12" s="90">
        <f>F10+F11</f>
        <v>-6965.7297580457944</v>
      </c>
      <c r="G12" s="90">
        <f>G10+G11</f>
        <v>5933.1331602476157</v>
      </c>
      <c r="H12" s="90">
        <f>H10+H11</f>
        <v>8395.3966095887426</v>
      </c>
      <c r="I12" s="90">
        <f>I10+I11</f>
        <v>5882.6753915449135</v>
      </c>
      <c r="J12" s="89"/>
      <c r="K12" s="89"/>
    </row>
    <row r="13" spans="1:23" ht="15.75" customHeight="1" x14ac:dyDescent="0.25">
      <c r="A13" s="95"/>
      <c r="B13" s="95"/>
      <c r="C13" s="95"/>
      <c r="D13" s="95"/>
      <c r="E13" s="95"/>
      <c r="F13" s="95"/>
      <c r="G13" s="95"/>
      <c r="H13" s="95"/>
      <c r="I13" s="95"/>
      <c r="J13" s="95"/>
      <c r="K13" s="95"/>
    </row>
    <row r="14" spans="1:23" s="35" customFormat="1" ht="15.75" customHeight="1" x14ac:dyDescent="0.3">
      <c r="A14" s="36" t="s">
        <v>236</v>
      </c>
      <c r="B14" s="37"/>
      <c r="C14" s="36"/>
      <c r="D14" s="34"/>
      <c r="E14" s="38"/>
      <c r="F14" s="38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</row>
    <row r="15" spans="1:23" ht="15.75" customHeight="1" x14ac:dyDescent="0.25">
      <c r="A15" s="95" t="s">
        <v>185</v>
      </c>
      <c r="B15" s="95" t="s">
        <v>89</v>
      </c>
      <c r="C15" s="95"/>
      <c r="D15" s="95"/>
      <c r="E15" s="95"/>
      <c r="F15" s="83">
        <f>SUMIF(Отчетность!$G$1:$W$1,F$1,Отчетность!$G34:$W34)</f>
        <v>-6965.7297580457916</v>
      </c>
      <c r="G15" s="83">
        <f>SUMIF(Отчетность!$G$1:$W$1,G$1,Отчетность!$G34:$W34)</f>
        <v>5933.1331602476248</v>
      </c>
      <c r="H15" s="83">
        <f>SUMIF(Отчетность!$G$1:$W$1,H$1,Отчетность!$G34:$W34)</f>
        <v>8395.3966095887408</v>
      </c>
      <c r="I15" s="83">
        <f>SUMIF(Отчетность!$G$1:$W$1,I$1,Отчетность!$G34:$W34)</f>
        <v>5882.6753915449244</v>
      </c>
      <c r="J15" s="95"/>
      <c r="K15" s="95"/>
    </row>
    <row r="16" spans="1:23" ht="15.75" customHeight="1" x14ac:dyDescent="0.25">
      <c r="A16" s="95" t="s">
        <v>153</v>
      </c>
      <c r="B16" s="95" t="s">
        <v>89</v>
      </c>
      <c r="C16" s="95"/>
      <c r="D16" s="95"/>
      <c r="E16" s="95"/>
      <c r="F16" s="83">
        <f>SUMIF(Отчетность!$G$1:$W$1,F$1,Отчетность!$G35:$W35)</f>
        <v>3283.854166666667</v>
      </c>
      <c r="G16" s="83">
        <f>SUMIF(Отчетность!$G$1:$W$1,G$1,Отчетность!$G35:$W35)</f>
        <v>5197.4046386718746</v>
      </c>
      <c r="H16" s="83">
        <f>SUMIF(Отчетность!$G$1:$W$1,H$1,Отчетность!$G35:$W35)</f>
        <v>6317.4778220846556</v>
      </c>
      <c r="I16" s="83">
        <f>SUMIF(Отчетность!$G$1:$W$1,I$1,Отчетность!$G35:$W35)</f>
        <v>7678.9337769802896</v>
      </c>
      <c r="J16" s="95"/>
      <c r="K16" s="95"/>
    </row>
    <row r="17" spans="1:11" ht="15.75" customHeight="1" x14ac:dyDescent="0.25">
      <c r="A17" s="95" t="s">
        <v>237</v>
      </c>
      <c r="B17" s="95" t="s">
        <v>89</v>
      </c>
      <c r="C17" s="95"/>
      <c r="D17" s="95"/>
      <c r="E17" s="95"/>
      <c r="F17" s="83">
        <v>0</v>
      </c>
      <c r="G17" s="83">
        <v>0</v>
      </c>
      <c r="H17" s="83">
        <v>0</v>
      </c>
      <c r="I17" s="83">
        <v>0</v>
      </c>
      <c r="J17" s="95"/>
      <c r="K17" s="95"/>
    </row>
    <row r="18" spans="1:11" ht="15.75" customHeight="1" x14ac:dyDescent="0.25">
      <c r="A18" s="95" t="s">
        <v>238</v>
      </c>
      <c r="B18" s="95" t="s">
        <v>89</v>
      </c>
      <c r="C18" s="95"/>
      <c r="D18" s="95"/>
      <c r="E18" s="95"/>
      <c r="F18" s="83">
        <f>F19+F20+F21+F22</f>
        <v>-96.910232758384382</v>
      </c>
      <c r="G18" s="83">
        <f>G19+G20+G21+G22</f>
        <v>-254.71823355581461</v>
      </c>
      <c r="H18" s="83">
        <f>H19+H20+H21+H22</f>
        <v>-17.151002556648223</v>
      </c>
      <c r="I18" s="83">
        <f>I19+I20+I21+I22</f>
        <v>-18.172749244456668</v>
      </c>
      <c r="J18" s="95"/>
      <c r="K18" s="95"/>
    </row>
    <row r="19" spans="1:11" ht="15.75" customHeight="1" x14ac:dyDescent="0.25">
      <c r="A19" s="84" t="s">
        <v>239</v>
      </c>
      <c r="B19" s="95" t="s">
        <v>89</v>
      </c>
      <c r="C19" s="95"/>
      <c r="D19" s="95"/>
      <c r="E19" s="95"/>
      <c r="F19" s="83">
        <f>SUMIF(Отчетность!$G$1:$W$1,F$1,Отчетность!$G36:$W36)</f>
        <v>-226.34897079782644</v>
      </c>
      <c r="G19" s="83">
        <f>SUMIF(Отчетность!$G$1:$W$1,G$1,Отчетность!$G36:$W36)</f>
        <v>-259.03655373287887</v>
      </c>
      <c r="H19" s="83">
        <f>SUMIF(Отчетность!$G$1:$W$1,H$1,Отчетность!$G36:$W36)</f>
        <v>-34.734420122391953</v>
      </c>
      <c r="I19" s="83">
        <f>SUMIF(Отчетность!$G$1:$W$1,I$1,Отчетность!$G36:$W36)</f>
        <v>-23.870571312945117</v>
      </c>
      <c r="J19" s="95"/>
      <c r="K19" s="95"/>
    </row>
    <row r="20" spans="1:11" ht="15.75" customHeight="1" x14ac:dyDescent="0.25">
      <c r="A20" s="84" t="s">
        <v>240</v>
      </c>
      <c r="B20" s="95" t="s">
        <v>89</v>
      </c>
      <c r="C20" s="95"/>
      <c r="D20" s="95"/>
      <c r="E20" s="95"/>
      <c r="F20" s="83">
        <f>SUMIF(Отчетность!$G$1:$W$1,F$1,Отчетность!$G39:$W39)</f>
        <v>464.47224689192723</v>
      </c>
      <c r="G20" s="83">
        <f>SUMIF(Отчетность!$G$1:$W$1,G$1,Отчетность!$G39:$W39)</f>
        <v>559.39664960466189</v>
      </c>
      <c r="H20" s="83">
        <f>SUMIF(Отчетность!$G$1:$W$1,H$1,Отчетность!$G39:$W39)</f>
        <v>92.014317828012054</v>
      </c>
      <c r="I20" s="83">
        <f>SUMIF(Отчетность!$G$1:$W$1,I$1,Отчетность!$G39:$W39)</f>
        <v>56.849046310513813</v>
      </c>
      <c r="J20" s="95"/>
      <c r="K20" s="95"/>
    </row>
    <row r="21" spans="1:11" ht="15.75" customHeight="1" x14ac:dyDescent="0.25">
      <c r="A21" s="84" t="s">
        <v>241</v>
      </c>
      <c r="B21" s="95" t="s">
        <v>89</v>
      </c>
      <c r="C21" s="95"/>
      <c r="D21" s="95"/>
      <c r="E21" s="95"/>
      <c r="F21" s="83">
        <f>SUMIF(Отчетность!$G$1:$W$1,F$1,Отчетность!$G38:$W38)</f>
        <v>-335.03350885248517</v>
      </c>
      <c r="G21" s="83">
        <f>SUMIF(Отчетность!$G$1:$W$1,G$1,Отчетность!$G38:$W38)</f>
        <v>-555.07832942759762</v>
      </c>
      <c r="H21" s="83">
        <f>SUMIF(Отчетность!$G$1:$W$1,H$1,Отчетность!$G38:$W38)</f>
        <v>-74.430900262268324</v>
      </c>
      <c r="I21" s="83">
        <f>SUMIF(Отчетность!$G$1:$W$1,I$1,Отчетность!$G38:$W38)</f>
        <v>-51.151224242025364</v>
      </c>
      <c r="J21" s="95"/>
      <c r="K21" s="95"/>
    </row>
    <row r="22" spans="1:11" ht="15.75" customHeight="1" x14ac:dyDescent="0.25">
      <c r="A22" s="84" t="s">
        <v>242</v>
      </c>
      <c r="B22" s="95" t="s">
        <v>89</v>
      </c>
      <c r="C22" s="95"/>
      <c r="D22" s="95"/>
      <c r="E22" s="95"/>
      <c r="F22" s="83">
        <f>SUMIF(Отчетность!$G$1:$W$1,F$1,Отчетность!$G37:$W37)</f>
        <v>0</v>
      </c>
      <c r="G22" s="83">
        <f>SUMIF(Отчетность!$G$1:$W$1,G$1,Отчетность!$G37:$W37)</f>
        <v>0</v>
      </c>
      <c r="H22" s="83">
        <f>SUMIF(Отчетность!$G$1:$W$1,H$1,Отчетность!$G37:$W37)</f>
        <v>0</v>
      </c>
      <c r="I22" s="83">
        <f>SUMIF(Отчетность!$G$1:$W$1,I$1,Отчетность!$G37:$W37)</f>
        <v>0</v>
      </c>
      <c r="J22" s="95"/>
      <c r="K22" s="95"/>
    </row>
    <row r="23" spans="1:11" s="94" customFormat="1" ht="15.75" customHeight="1" x14ac:dyDescent="0.3">
      <c r="A23" s="92" t="s">
        <v>243</v>
      </c>
      <c r="B23" s="92" t="s">
        <v>89</v>
      </c>
      <c r="C23" s="92"/>
      <c r="D23" s="92"/>
      <c r="E23" s="92"/>
      <c r="F23" s="93">
        <f>F15+F16+F17+F18</f>
        <v>-3778.7858241375088</v>
      </c>
      <c r="G23" s="93">
        <f>G15+G16+G17+G18</f>
        <v>10875.819565363685</v>
      </c>
      <c r="H23" s="93">
        <f>H15+H16+H17+H18</f>
        <v>14695.72342911675</v>
      </c>
      <c r="I23" s="93">
        <f>I15+I16+I17+I18</f>
        <v>13543.436419280757</v>
      </c>
      <c r="J23" s="92"/>
      <c r="K23" s="92"/>
    </row>
    <row r="24" spans="1:11" ht="15.75" customHeight="1" x14ac:dyDescent="0.25">
      <c r="A24" s="95"/>
      <c r="B24" s="95"/>
      <c r="C24" s="95"/>
      <c r="D24" s="95"/>
      <c r="E24" s="95"/>
      <c r="F24" s="95"/>
      <c r="G24" s="95"/>
      <c r="H24" s="95"/>
      <c r="I24" s="95"/>
      <c r="J24" s="95"/>
      <c r="K24" s="95"/>
    </row>
    <row r="25" spans="1:11" ht="15.75" customHeight="1" x14ac:dyDescent="0.25">
      <c r="A25" s="95" t="s">
        <v>202</v>
      </c>
      <c r="B25" s="95" t="s">
        <v>89</v>
      </c>
      <c r="C25" s="95"/>
      <c r="D25" s="95"/>
      <c r="E25" s="95"/>
      <c r="F25" s="83">
        <f>SUMIF(Отчетность!$G$1:$W$1,F$1,Отчетность!$G42:$W42)</f>
        <v>0</v>
      </c>
      <c r="G25" s="83">
        <f>SUMIF(Отчетность!$G$1:$W$1,G$1,Отчетность!$G42:$W42)</f>
        <v>0</v>
      </c>
      <c r="H25" s="83">
        <f>SUMIF(Отчетность!$G$1:$W$1,H$1,Отчетность!$G42:$W42)</f>
        <v>0</v>
      </c>
      <c r="I25" s="83">
        <f>SUMIF(Отчетность!$G$1:$W$1,I$1,Отчетность!$G42:$W42)</f>
        <v>0</v>
      </c>
      <c r="J25" s="95"/>
      <c r="K25" s="95"/>
    </row>
    <row r="26" spans="1:11" ht="15.75" customHeight="1" x14ac:dyDescent="0.25">
      <c r="A26" s="95" t="s">
        <v>244</v>
      </c>
      <c r="B26" s="95" t="s">
        <v>89</v>
      </c>
      <c r="C26" s="95"/>
      <c r="D26" s="95"/>
      <c r="E26" s="95"/>
      <c r="F26" s="83">
        <f>SUMIF(Отчетность!$G$1:$W$1,F$1,Отчетность!$G41:$W41)</f>
        <v>-14470.3125</v>
      </c>
      <c r="G26" s="83">
        <f>SUMIF(Отчетность!$G$1:$W$1,G$1,Отчетность!$G41:$W41)</f>
        <v>-3118.4427832031251</v>
      </c>
      <c r="H26" s="83">
        <f>SUMIF(Отчетность!$G$1:$W$1,H$1,Отчетность!$G41:$W41)</f>
        <v>-3790.4866932507975</v>
      </c>
      <c r="I26" s="83">
        <f>SUMIF(Отчетность!$G$1:$W$1,I$1,Отчетность!$G41:$W41)</f>
        <v>-4607.3602661881705</v>
      </c>
      <c r="J26" s="95"/>
      <c r="K26" s="95"/>
    </row>
    <row r="27" spans="1:11" s="94" customFormat="1" ht="15.75" customHeight="1" x14ac:dyDescent="0.3">
      <c r="A27" s="92" t="s">
        <v>245</v>
      </c>
      <c r="B27" s="92" t="s">
        <v>89</v>
      </c>
      <c r="C27" s="92"/>
      <c r="D27" s="92"/>
      <c r="E27" s="92"/>
      <c r="F27" s="93">
        <f>F25+F26</f>
        <v>-14470.3125</v>
      </c>
      <c r="G27" s="93">
        <f>G25+G26</f>
        <v>-3118.4427832031251</v>
      </c>
      <c r="H27" s="93">
        <f>H25+H26</f>
        <v>-3790.4866932507975</v>
      </c>
      <c r="I27" s="93">
        <f>I25+I26</f>
        <v>-4607.3602661881705</v>
      </c>
      <c r="J27" s="92"/>
      <c r="K27" s="92"/>
    </row>
    <row r="28" spans="1:11" ht="15.75" customHeight="1" x14ac:dyDescent="0.25">
      <c r="A28" s="95"/>
      <c r="B28" s="95"/>
      <c r="C28" s="95"/>
      <c r="D28" s="95"/>
      <c r="E28" s="95"/>
      <c r="F28" s="95"/>
      <c r="G28" s="95"/>
      <c r="H28" s="95"/>
      <c r="I28" s="95"/>
      <c r="J28" s="95"/>
      <c r="K28" s="95"/>
    </row>
    <row r="29" spans="1:11" ht="15.75" customHeight="1" x14ac:dyDescent="0.25">
      <c r="A29" s="95" t="s">
        <v>246</v>
      </c>
      <c r="B29" s="95" t="s">
        <v>89</v>
      </c>
      <c r="C29" s="95"/>
      <c r="D29" s="95"/>
      <c r="E29" s="95"/>
      <c r="F29" s="83">
        <f>SUMIF(Отчетность!$G$1:$W$1,F$1,Отчетность!$G44:$W44)</f>
        <v>11875</v>
      </c>
      <c r="G29" s="83">
        <f>SUMIF(Отчетность!$G$1:$W$1,G$1,Отчетность!$G44:$W44)</f>
        <v>0</v>
      </c>
      <c r="H29" s="83">
        <f>SUMIF(Отчетность!$G$1:$W$1,H$1,Отчетность!$G44:$W44)</f>
        <v>0</v>
      </c>
      <c r="I29" s="83">
        <f>SUMIF(Отчетность!$G$1:$W$1,I$1,Отчетность!$G44:$W44)</f>
        <v>0</v>
      </c>
      <c r="J29" s="95"/>
      <c r="K29" s="95"/>
    </row>
    <row r="30" spans="1:11" ht="15.75" customHeight="1" x14ac:dyDescent="0.25">
      <c r="A30" s="95" t="s">
        <v>247</v>
      </c>
      <c r="B30" s="95" t="s">
        <v>89</v>
      </c>
      <c r="C30" s="95"/>
      <c r="D30" s="95"/>
      <c r="E30" s="95"/>
      <c r="F30" s="83">
        <f>SUMIF(Отчетность!$G$1:$W$1,F$1,Отчетность!$G45:$W45)</f>
        <v>-2544.6428571428569</v>
      </c>
      <c r="G30" s="83">
        <f>SUMIF(Отчетность!$G$1:$W$1,G$1,Отчетность!$G45:$W45)</f>
        <v>-3392.8571428571427</v>
      </c>
      <c r="H30" s="83">
        <f>SUMIF(Отчетность!$G$1:$W$1,H$1,Отчетность!$G45:$W45)</f>
        <v>-3392.8571428571427</v>
      </c>
      <c r="I30" s="83">
        <f>SUMIF(Отчетность!$G$1:$W$1,I$1,Отчетность!$G45:$W45)</f>
        <v>-2544.6428571428569</v>
      </c>
      <c r="J30" s="95"/>
      <c r="K30" s="95"/>
    </row>
    <row r="31" spans="1:11" ht="15.75" customHeight="1" x14ac:dyDescent="0.25">
      <c r="A31" s="95" t="s">
        <v>94</v>
      </c>
      <c r="B31" s="95" t="s">
        <v>89</v>
      </c>
      <c r="C31" s="95"/>
      <c r="D31" s="95"/>
      <c r="E31" s="95"/>
      <c r="F31" s="83">
        <f>SUMIF(Отчетность!$G$1:$W$1,F$1,Отчетность!$G46:$W46)</f>
        <v>9000</v>
      </c>
      <c r="G31" s="83">
        <f>SUMIF(Отчетность!$G$1:$W$1,G$1,Отчетность!$G46:$W46)</f>
        <v>0</v>
      </c>
      <c r="H31" s="83">
        <f>SUMIF(Отчетность!$G$1:$W$1,H$1,Отчетность!$G46:$W46)</f>
        <v>0</v>
      </c>
      <c r="I31" s="83">
        <f>SUMIF(Отчетность!$G$1:$W$1,I$1,Отчетность!$G46:$W46)</f>
        <v>0</v>
      </c>
      <c r="J31" s="95"/>
      <c r="K31" s="95"/>
    </row>
    <row r="32" spans="1:11" s="94" customFormat="1" ht="15.75" customHeight="1" x14ac:dyDescent="0.3">
      <c r="A32" s="92" t="s">
        <v>248</v>
      </c>
      <c r="B32" s="92" t="s">
        <v>89</v>
      </c>
      <c r="C32" s="92"/>
      <c r="D32" s="92"/>
      <c r="E32" s="92"/>
      <c r="F32" s="93">
        <f>F29+F30+F31</f>
        <v>18330.357142857145</v>
      </c>
      <c r="G32" s="93">
        <f>G29+G30+G31</f>
        <v>-3392.8571428571427</v>
      </c>
      <c r="H32" s="93">
        <f>H29+H30+H31</f>
        <v>-3392.8571428571427</v>
      </c>
      <c r="I32" s="93">
        <f>I29+I30+I31</f>
        <v>-2544.6428571428569</v>
      </c>
      <c r="J32" s="92"/>
      <c r="K32" s="92"/>
    </row>
    <row r="33" spans="1:23" ht="15.75" customHeight="1" x14ac:dyDescent="0.25">
      <c r="A33" s="95"/>
      <c r="B33" s="95"/>
      <c r="C33" s="95"/>
      <c r="D33" s="95"/>
      <c r="E33" s="95"/>
      <c r="F33" s="95"/>
      <c r="G33" s="95"/>
      <c r="H33" s="95"/>
      <c r="I33" s="95"/>
      <c r="J33" s="95"/>
      <c r="K33" s="95"/>
    </row>
    <row r="34" spans="1:23" s="94" customFormat="1" ht="15.75" customHeight="1" x14ac:dyDescent="0.3">
      <c r="A34" s="92" t="s">
        <v>249</v>
      </c>
      <c r="B34" s="92" t="s">
        <v>89</v>
      </c>
      <c r="C34" s="92"/>
      <c r="D34" s="92"/>
      <c r="E34" s="92"/>
      <c r="F34" s="93">
        <f>F23+F27+F32</f>
        <v>81.258818719637929</v>
      </c>
      <c r="G34" s="93">
        <f>G23+G27+G32</f>
        <v>4364.5196393034166</v>
      </c>
      <c r="H34" s="93">
        <f>H23+H27+H32</f>
        <v>7512.379593008809</v>
      </c>
      <c r="I34" s="93">
        <f>I23+I27+I32</f>
        <v>6391.4332959497297</v>
      </c>
      <c r="J34" s="92"/>
      <c r="K34" s="92"/>
    </row>
    <row r="35" spans="1:23" ht="15.75" customHeight="1" x14ac:dyDescent="0.25">
      <c r="A35" s="95"/>
      <c r="B35" s="95"/>
      <c r="C35" s="95"/>
      <c r="D35" s="95"/>
      <c r="E35" s="95"/>
      <c r="F35" s="95"/>
      <c r="G35" s="95"/>
      <c r="H35" s="95"/>
      <c r="I35" s="95"/>
      <c r="J35" s="95"/>
      <c r="K35" s="95"/>
    </row>
    <row r="36" spans="1:23" s="35" customFormat="1" ht="15.75" customHeight="1" x14ac:dyDescent="0.3">
      <c r="A36" s="36" t="s">
        <v>186</v>
      </c>
      <c r="B36" s="37"/>
      <c r="C36" s="36"/>
      <c r="D36" s="34"/>
      <c r="E36" s="38"/>
      <c r="F36" s="38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</row>
    <row r="37" spans="1:23" ht="15.75" customHeight="1" x14ac:dyDescent="0.25">
      <c r="A37" s="95" t="s">
        <v>109</v>
      </c>
      <c r="B37" s="95" t="s">
        <v>89</v>
      </c>
      <c r="C37" s="95"/>
      <c r="D37" s="95"/>
      <c r="E37" s="83">
        <f>SUMIFS(Отчетность!$G18:$W18,Отчетность!$G$1:$W$1,E$1,Отчетность!$G$2:$W$2,Отчетность!$G$2)</f>
        <v>0</v>
      </c>
      <c r="F37" s="83">
        <f>SUMIFS(Отчетность!$G18:$W18,Отчетность!$G$1:$W$1,F$1,Отчетность!$G$2:$W$2,Отчетность!$G$2)</f>
        <v>11186.458333333334</v>
      </c>
      <c r="G37" s="83">
        <f>SUMIFS(Отчетность!$G18:$W18,Отчетность!$G$1:$W$1,G$1,Отчетность!$G$2:$W$2,Отчетность!$G$2)</f>
        <v>9107.4964778645844</v>
      </c>
      <c r="H37" s="83">
        <f>SUMIFS(Отчетность!$G18:$W18,Отчетность!$G$1:$W$1,H$1,Отчетность!$G$2:$W$2,Отчетность!$G$2)</f>
        <v>6580.5053490307273</v>
      </c>
      <c r="I37" s="83">
        <f>SUMIFS(Отчетность!$G18:$W18,Отчетность!$G$1:$W$1,I$1,Отчетность!$G$2:$W$2,Отчетность!$G$2)</f>
        <v>3508.9318382386086</v>
      </c>
      <c r="J37" s="95"/>
      <c r="K37" s="95"/>
    </row>
    <row r="38" spans="1:23" ht="14.5" customHeight="1" x14ac:dyDescent="0.25">
      <c r="A38" s="95" t="s">
        <v>110</v>
      </c>
      <c r="B38" s="95" t="s">
        <v>89</v>
      </c>
      <c r="C38" s="95"/>
      <c r="D38" s="95"/>
      <c r="E38" s="83">
        <f>SUMIFS(Отчетность!$G20:$W20,Отчетность!$G$1:$W$1,E$1,Отчетность!$G$2:$W$2,Отчетность!$G$2)</f>
        <v>0</v>
      </c>
      <c r="F38" s="83">
        <f>SUMIFS(Отчетность!$G20:$W20,Отчетность!$G$1:$W$1,F$1,Отчетность!$G$2:$W$2,Отчетность!$G$2)</f>
        <v>226.34897079782644</v>
      </c>
      <c r="G38" s="83">
        <f>SUMIFS(Отчетность!$G20:$W20,Отчетность!$G$1:$W$1,G$1,Отчетность!$G$2:$W$2,Отчетность!$G$2)</f>
        <v>485.38552453070531</v>
      </c>
      <c r="H38" s="83">
        <f>SUMIFS(Отчетность!$G20:$W20,Отчетность!$G$1:$W$1,H$1,Отчетность!$G$2:$W$2,Отчетность!$G$2)</f>
        <v>520.11994465309726</v>
      </c>
      <c r="I38" s="83">
        <f>SUMIFS(Отчетность!$G20:$W20,Отчетность!$G$1:$W$1,I$1,Отчетность!$G$2:$W$2,Отчетность!$G$2)</f>
        <v>543.99051596604238</v>
      </c>
      <c r="J38" s="95"/>
      <c r="K38" s="95"/>
    </row>
    <row r="39" spans="1:23" ht="14.5" customHeight="1" x14ac:dyDescent="0.25">
      <c r="A39" s="95" t="s">
        <v>111</v>
      </c>
      <c r="B39" s="95" t="s">
        <v>89</v>
      </c>
      <c r="C39" s="95"/>
      <c r="D39" s="95"/>
      <c r="E39" s="83">
        <f>SUMIFS(Отчетность!$G19:$W19,Отчетность!$G$1:$W$1,E$1,Отчетность!$G$2:$W$2,Отчетность!$G$2)</f>
        <v>150</v>
      </c>
      <c r="F39" s="83">
        <f>SUMIFS(Отчетность!$G19:$W19,Отчетность!$G$1:$W$1,F$1,Отчетность!$G$2:$W$2,Отчетность!$G$2)</f>
        <v>485.03350885248517</v>
      </c>
      <c r="G39" s="83">
        <f>SUMIFS(Отчетность!$G19:$W19,Отчетность!$G$1:$W$1,G$1,Отчетность!$G$2:$W$2,Отчетность!$G$2)</f>
        <v>1040.1118382800828</v>
      </c>
      <c r="H39" s="83">
        <f>SUMIFS(Отчетность!$G19:$W19,Отчетность!$G$1:$W$1,H$1,Отчетность!$G$2:$W$2,Отчетность!$G$2)</f>
        <v>1114.5427385423511</v>
      </c>
      <c r="I39" s="83">
        <f>SUMIFS(Отчетность!$G19:$W19,Отчетность!$G$1:$W$1,I$1,Отчетность!$G$2:$W$2,Отчетность!$G$2)</f>
        <v>1165.6939627843765</v>
      </c>
      <c r="J39" s="95"/>
      <c r="K39" s="95"/>
    </row>
    <row r="40" spans="1:23" ht="14.5" customHeight="1" x14ac:dyDescent="0.25">
      <c r="A40" s="95" t="s">
        <v>250</v>
      </c>
      <c r="B40" s="95" t="s">
        <v>89</v>
      </c>
      <c r="C40" s="95"/>
      <c r="D40" s="95"/>
      <c r="E40" s="83">
        <f>SUMIFS(Отчетность!$G21:$W21,Отчетность!$G$1:$W$1,E$1,Отчетность!$G$2:$W$2,Отчетность!$G$2)</f>
        <v>0</v>
      </c>
      <c r="F40" s="83">
        <f>SUMIFS(Отчетность!$G21:$W21,Отчетность!$G$1:$W$1,F$1,Отчетность!$G$2:$W$2,Отчетность!$G$2)</f>
        <v>0</v>
      </c>
      <c r="G40" s="83">
        <f>SUMIFS(Отчетность!$G21:$W21,Отчетность!$G$1:$W$1,G$1,Отчетность!$G$2:$W$2,Отчетность!$G$2)</f>
        <v>0</v>
      </c>
      <c r="H40" s="83">
        <f>SUMIFS(Отчетность!$G21:$W21,Отчетность!$G$1:$W$1,H$1,Отчетность!$G$2:$W$2,Отчетность!$G$2)</f>
        <v>0</v>
      </c>
      <c r="I40" s="83">
        <f>SUMIFS(Отчетность!$G21:$W21,Отчетность!$G$1:$W$1,I$1,Отчетность!$G$2:$W$2,Отчетность!$G$2)</f>
        <v>0</v>
      </c>
      <c r="J40" s="95"/>
      <c r="K40" s="95"/>
    </row>
    <row r="41" spans="1:23" ht="12.5" customHeight="1" x14ac:dyDescent="0.25">
      <c r="A41" s="95" t="s">
        <v>113</v>
      </c>
      <c r="B41" s="95" t="s">
        <v>89</v>
      </c>
      <c r="C41" s="95"/>
      <c r="D41" s="95"/>
      <c r="E41" s="83">
        <f>SUMIFS(Отчетность!$G22:$W22,Отчетность!$G$1:$W$1,E$1,Отчетность!$G$2:$W$2,Отчетность!$G$2)</f>
        <v>1850</v>
      </c>
      <c r="F41" s="83">
        <f>SUMIFS(Отчетность!$G22:$W22,Отчетность!$G$1:$W$1,F$1,Отчетность!$G$2:$W$2,Отчетность!$G$2)</f>
        <v>1931.2588187196325</v>
      </c>
      <c r="G41" s="83">
        <f>SUMIFS(Отчетность!$G22:$W22,Отчетность!$G$1:$W$1,G$1,Отчетность!$G$2:$W$2,Отчетность!$G$2)</f>
        <v>6295.7784580230491</v>
      </c>
      <c r="H41" s="83">
        <f>SUMIFS(Отчетность!$G22:$W22,Отчетность!$G$1:$W$1,H$1,Отчетность!$G$2:$W$2,Отчетность!$G$2)</f>
        <v>13808.158051031856</v>
      </c>
      <c r="I41" s="83">
        <f>SUMIFS(Отчетность!$G22:$W22,Отчетность!$G$1:$W$1,I$1,Отчетность!$G$2:$W$2,Отчетность!$G$2)</f>
        <v>20199.591346981586</v>
      </c>
      <c r="J41" s="95"/>
      <c r="K41" s="95"/>
    </row>
    <row r="42" spans="1:23" ht="13" customHeight="1" x14ac:dyDescent="0.3">
      <c r="A42" s="85" t="s">
        <v>251</v>
      </c>
      <c r="B42" s="85" t="s">
        <v>89</v>
      </c>
      <c r="C42" s="95"/>
      <c r="D42" s="95"/>
      <c r="E42" s="83">
        <v>0</v>
      </c>
      <c r="F42" s="83">
        <v>0</v>
      </c>
      <c r="G42" s="83">
        <v>0</v>
      </c>
      <c r="H42" s="83">
        <v>0</v>
      </c>
      <c r="I42" s="83">
        <v>0</v>
      </c>
      <c r="J42" s="95"/>
      <c r="K42" s="95"/>
    </row>
    <row r="43" spans="1:23" s="94" customFormat="1" ht="15.75" customHeight="1" x14ac:dyDescent="0.3">
      <c r="A43" s="92" t="s">
        <v>114</v>
      </c>
      <c r="B43" s="92" t="s">
        <v>89</v>
      </c>
      <c r="C43" s="92"/>
      <c r="D43" s="92"/>
      <c r="E43" s="92">
        <f>SUM(E37:E42)</f>
        <v>2000</v>
      </c>
      <c r="F43" s="93">
        <f>SUM(F37:F42)</f>
        <v>13829.099631703277</v>
      </c>
      <c r="G43" s="93">
        <f>SUM(G37:G42)</f>
        <v>16928.772298698423</v>
      </c>
      <c r="H43" s="93">
        <f>SUM(H37:H42)</f>
        <v>22023.326083258034</v>
      </c>
      <c r="I43" s="93">
        <f>SUM(I37:I42)</f>
        <v>25418.207663970614</v>
      </c>
      <c r="J43" s="92"/>
      <c r="K43" s="92"/>
    </row>
    <row r="44" spans="1:23" ht="12.5" customHeight="1" x14ac:dyDescent="0.25">
      <c r="A44" s="95" t="s">
        <v>115</v>
      </c>
      <c r="B44" s="95" t="s">
        <v>89</v>
      </c>
      <c r="C44" s="95"/>
      <c r="D44" s="95"/>
      <c r="E44" s="83">
        <f>SUMIFS(Отчетность!$G24:$W24,Отчетность!$G$1:$W$1,E$1,Отчетность!$G$2:$W$2,Отчетность!$G$2)</f>
        <v>2000</v>
      </c>
      <c r="F44" s="83">
        <f>SUMIFS(Отчетность!$G24:$W24,Отчетность!$G$1:$W$1,F$1,Отчетность!$G$2:$W$2,Отчетность!$G$2)</f>
        <v>11000</v>
      </c>
      <c r="G44" s="83">
        <f>SUMIFS(Отчетность!$G24:$W24,Отчетность!$G$1:$W$1,G$1,Отчетность!$G$2:$W$2,Отчетность!$G$2)</f>
        <v>11000</v>
      </c>
      <c r="H44" s="83">
        <f>SUMIFS(Отчетность!$G24:$W24,Отчетность!$G$1:$W$1,H$1,Отчетность!$G$2:$W$2,Отчетность!$G$2)</f>
        <v>11000</v>
      </c>
      <c r="I44" s="83">
        <f>SUMIFS(Отчетность!$G24:$W24,Отчетность!$G$1:$W$1,I$1,Отчетность!$G$2:$W$2,Отчетность!$G$2)</f>
        <v>11000</v>
      </c>
      <c r="J44" s="95"/>
      <c r="K44" s="95"/>
    </row>
    <row r="45" spans="1:23" ht="12.5" customHeight="1" x14ac:dyDescent="0.25">
      <c r="A45" s="95" t="s">
        <v>252</v>
      </c>
      <c r="B45" s="95" t="s">
        <v>89</v>
      </c>
      <c r="C45" s="95"/>
      <c r="D45" s="95"/>
      <c r="E45" s="83">
        <f>SUMIFS(Отчетность!$G25:$W25,Отчетность!$G$1:$W$1,E$1,Отчетность!$G$2:$W$2,Отчетность!$G$2)</f>
        <v>0</v>
      </c>
      <c r="F45" s="83">
        <f>SUMIFS(Отчетность!$G25:$W25,Отчетность!$G$1:$W$1,F$1,Отчетность!$G$2:$W$2,Отчетность!$G$2)</f>
        <v>-6965.7297580457916</v>
      </c>
      <c r="G45" s="83">
        <f>SUMIFS(Отчетность!$G25:$W25,Отчетность!$G$1:$W$1,G$1,Отчетность!$G$2:$W$2,Отчетность!$G$2)</f>
        <v>-1032.5965977981664</v>
      </c>
      <c r="H45" s="83">
        <f>SUMIFS(Отчетность!$G25:$W25,Отчетность!$G$1:$W$1,H$1,Отчетность!$G$2:$W$2,Отчетность!$G$2)</f>
        <v>7362.8000117905758</v>
      </c>
      <c r="I45" s="83">
        <f>SUMIFS(Отчетность!$G25:$W25,Отчетность!$G$1:$W$1,I$1,Отчетность!$G$2:$W$2,Отчетность!$G$2)</f>
        <v>13245.4754033355</v>
      </c>
      <c r="J45" s="95"/>
      <c r="K45" s="95"/>
    </row>
    <row r="46" spans="1:23" ht="12.5" customHeight="1" x14ac:dyDescent="0.25">
      <c r="A46" s="95" t="s">
        <v>253</v>
      </c>
      <c r="B46" s="95" t="s">
        <v>89</v>
      </c>
      <c r="C46" s="95"/>
      <c r="D46" s="95"/>
      <c r="E46" s="83">
        <f>SUMIFS(Отчетность!$G27:$W27,Отчетность!$G$1:$W$1,E$1,Отчетность!$G$2:$W$2,Отчетность!$G$2)</f>
        <v>0</v>
      </c>
      <c r="F46" s="83">
        <f>SUMIFS(Отчетность!$G27:$W27,Отчетность!$G$1:$W$1,F$1,Отчетность!$G$2:$W$2,Отчетность!$G$2)</f>
        <v>9330.3571428571413</v>
      </c>
      <c r="G46" s="83">
        <f>SUMIFS(Отчетность!$G27:$W27,Отчетность!$G$1:$W$1,G$1,Отчетность!$G$2:$W$2,Отчетность!$G$2)</f>
        <v>5937.4999999999991</v>
      </c>
      <c r="H46" s="83">
        <f>SUMIFS(Отчетность!$G27:$W27,Отчетность!$G$1:$W$1,H$1,Отчетность!$G$2:$W$2,Отчетность!$G$2)</f>
        <v>2544.6428571428569</v>
      </c>
      <c r="I46" s="83">
        <f>SUMIFS(Отчетность!$G27:$W27,Отчетность!$G$1:$W$1,I$1,Отчетность!$G$2:$W$2,Отчетность!$G$2)</f>
        <v>0</v>
      </c>
      <c r="J46" s="95"/>
      <c r="K46" s="95"/>
    </row>
    <row r="47" spans="1:23" ht="12.5" customHeight="1" x14ac:dyDescent="0.25">
      <c r="A47" s="95" t="s">
        <v>254</v>
      </c>
      <c r="B47" s="95" t="s">
        <v>89</v>
      </c>
      <c r="C47" s="95"/>
      <c r="D47" s="95"/>
      <c r="E47" s="83">
        <v>0</v>
      </c>
      <c r="F47" s="83">
        <v>0</v>
      </c>
      <c r="G47" s="83">
        <v>0</v>
      </c>
      <c r="H47" s="83">
        <v>0</v>
      </c>
      <c r="I47" s="83">
        <v>0</v>
      </c>
      <c r="J47" s="95"/>
      <c r="K47" s="95"/>
    </row>
    <row r="48" spans="1:23" ht="12.5" customHeight="1" x14ac:dyDescent="0.25">
      <c r="A48" s="95" t="s">
        <v>117</v>
      </c>
      <c r="B48" s="95" t="s">
        <v>89</v>
      </c>
      <c r="C48" s="95"/>
      <c r="D48" s="95"/>
      <c r="E48" s="83">
        <f>SUMIFS(Отчетность!$G28:$W28,Отчетность!$G$1:$W$1,E$1,Отчетность!$G$2:$W$2,Отчетность!$G$2)</f>
        <v>0</v>
      </c>
      <c r="F48" s="83">
        <f>SUMIFS(Отчетность!$G28:$W28,Отчетность!$G$1:$W$1,F$1,Отчетность!$G$2:$W$2,Отчетность!$G$2)</f>
        <v>464.47224689192723</v>
      </c>
      <c r="G48" s="83">
        <f>SUMIFS(Отчетность!$G28:$W28,Отчетность!$G$1:$W$1,G$1,Отчетность!$G$2:$W$2,Отчетность!$G$2)</f>
        <v>1023.8688964965891</v>
      </c>
      <c r="H48" s="83">
        <f>SUMIFS(Отчетность!$G28:$W28,Отчетность!$G$1:$W$1,H$1,Отчетность!$G$2:$W$2,Отчетность!$G$2)</f>
        <v>1115.8832143246011</v>
      </c>
      <c r="I48" s="83">
        <f>SUMIFS(Отчетность!$G28:$W28,Отчетность!$G$1:$W$1,I$1,Отчетность!$G$2:$W$2,Отчетность!$G$2)</f>
        <v>1172.7322606351149</v>
      </c>
      <c r="J48" s="95"/>
      <c r="K48" s="95"/>
    </row>
    <row r="49" spans="1:23" ht="13" customHeight="1" x14ac:dyDescent="0.3">
      <c r="A49" s="85" t="s">
        <v>255</v>
      </c>
      <c r="B49" s="85" t="s">
        <v>89</v>
      </c>
      <c r="C49" s="95"/>
      <c r="D49" s="95"/>
      <c r="E49" s="83">
        <v>0</v>
      </c>
      <c r="F49" s="83">
        <v>0</v>
      </c>
      <c r="G49" s="83">
        <v>0</v>
      </c>
      <c r="H49" s="83">
        <v>0</v>
      </c>
      <c r="I49" s="83">
        <v>0</v>
      </c>
      <c r="J49" s="95"/>
      <c r="K49" s="95"/>
    </row>
    <row r="50" spans="1:23" s="94" customFormat="1" ht="15.75" customHeight="1" x14ac:dyDescent="0.3">
      <c r="A50" s="92" t="s">
        <v>118</v>
      </c>
      <c r="B50" s="92" t="s">
        <v>89</v>
      </c>
      <c r="C50" s="92"/>
      <c r="D50" s="92"/>
      <c r="E50" s="92">
        <f>SUM(E44:E49)</f>
        <v>2000</v>
      </c>
      <c r="F50" s="93">
        <f>SUM(F44:F49)</f>
        <v>13829.099631703277</v>
      </c>
      <c r="G50" s="93">
        <f>SUM(G44:G49)</f>
        <v>16928.772298698419</v>
      </c>
      <c r="H50" s="93">
        <f>SUM(H44:H49)</f>
        <v>22023.326083258031</v>
      </c>
      <c r="I50" s="93">
        <f>SUM(I44:I49)</f>
        <v>25418.207663970614</v>
      </c>
      <c r="J50" s="92"/>
      <c r="K50" s="92"/>
    </row>
    <row r="51" spans="1:23" ht="13" customHeight="1" x14ac:dyDescent="0.3">
      <c r="A51" s="85" t="s">
        <v>256</v>
      </c>
      <c r="B51" s="95"/>
      <c r="C51" s="95"/>
      <c r="D51" s="95"/>
      <c r="E51" s="86">
        <f>E43-E50</f>
        <v>0</v>
      </c>
      <c r="F51" s="86">
        <f>F43-F50</f>
        <v>0</v>
      </c>
      <c r="G51" s="86">
        <f>G43-G50</f>
        <v>0</v>
      </c>
      <c r="H51" s="86">
        <f>H43-H50</f>
        <v>0</v>
      </c>
      <c r="I51" s="86">
        <f>I43-I50</f>
        <v>0</v>
      </c>
      <c r="J51" s="95"/>
      <c r="K51" s="95"/>
    </row>
    <row r="52" spans="1:23" ht="12.5" customHeight="1" x14ac:dyDescent="0.25">
      <c r="A52" s="95"/>
      <c r="B52" s="95"/>
      <c r="C52" s="95"/>
      <c r="D52" s="95"/>
      <c r="E52" s="95"/>
      <c r="F52" s="95"/>
      <c r="G52" s="95"/>
      <c r="H52" s="95"/>
      <c r="I52" s="95"/>
      <c r="J52" s="95"/>
      <c r="K52" s="95"/>
    </row>
    <row r="53" spans="1:23" s="35" customFormat="1" ht="15.75" customHeight="1" x14ac:dyDescent="0.3">
      <c r="A53" s="36" t="s">
        <v>257</v>
      </c>
      <c r="B53" s="37"/>
      <c r="C53" s="36"/>
      <c r="D53" s="34"/>
      <c r="E53" s="38"/>
      <c r="F53" s="38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</row>
    <row r="54" spans="1:23" s="94" customFormat="1" ht="15.75" customHeight="1" x14ac:dyDescent="0.3">
      <c r="A54" s="92" t="s">
        <v>258</v>
      </c>
      <c r="B54" s="92"/>
      <c r="C54" s="92"/>
      <c r="D54" s="92"/>
      <c r="E54" s="92"/>
      <c r="F54" s="93"/>
      <c r="G54" s="93"/>
      <c r="H54" s="93"/>
      <c r="I54" s="93"/>
      <c r="J54" s="92"/>
      <c r="K54" s="92"/>
    </row>
    <row r="55" spans="1:23" ht="12.5" customHeight="1" x14ac:dyDescent="0.25">
      <c r="A55" s="95" t="s">
        <v>259</v>
      </c>
      <c r="B55" s="95" t="s">
        <v>15</v>
      </c>
      <c r="C55" s="95"/>
      <c r="D55" s="95"/>
      <c r="E55" s="95"/>
      <c r="F55" s="87">
        <f>F12/F3</f>
        <v>-0.42139665753908284</v>
      </c>
      <c r="G55" s="87">
        <f>G12/G3</f>
        <v>9.6341650232430881E-2</v>
      </c>
      <c r="H55" s="87">
        <f>H12/H3</f>
        <v>0.10644876758195945</v>
      </c>
      <c r="I55" s="87">
        <f>I12/I3</f>
        <v>7.0973165711280511E-2</v>
      </c>
      <c r="J55" s="95"/>
      <c r="K55" s="95"/>
    </row>
    <row r="56" spans="1:23" ht="12.5" customHeight="1" x14ac:dyDescent="0.25">
      <c r="A56" s="95" t="s">
        <v>260</v>
      </c>
      <c r="B56" s="95" t="s">
        <v>15</v>
      </c>
      <c r="C56" s="95"/>
      <c r="D56" s="95"/>
      <c r="E56" s="95"/>
      <c r="F56" s="87">
        <f>F12/AVERAGE(E43:F43)</f>
        <v>-0.88011698961000895</v>
      </c>
      <c r="G56" s="87">
        <f>G12/AVERAGE(F43:G43)</f>
        <v>0.3857960767684443</v>
      </c>
      <c r="H56" s="87">
        <f>H12/AVERAGE(G43:H43)</f>
        <v>0.4310626106591316</v>
      </c>
      <c r="I56" s="87">
        <f>I12/AVERAGE(H43:I43)</f>
        <v>0.24799684693535259</v>
      </c>
      <c r="J56" s="95"/>
      <c r="K56" s="95"/>
    </row>
    <row r="57" spans="1:23" ht="12.5" customHeight="1" x14ac:dyDescent="0.25">
      <c r="A57" s="95" t="s">
        <v>261</v>
      </c>
      <c r="B57" s="95" t="s">
        <v>15</v>
      </c>
      <c r="C57" s="95"/>
      <c r="D57" s="95"/>
      <c r="E57" s="95"/>
      <c r="F57" s="87">
        <f>F12/(AVERAGE(E44:F44)+AVERAGE(E45:F45))</f>
        <v>-2.30872316908032</v>
      </c>
      <c r="G57" s="87">
        <f>G12/(AVERAGE(F44:G44)+AVERAGE(F45:G45))</f>
        <v>0.84748913751806532</v>
      </c>
      <c r="H57" s="87">
        <f>H12/(AVERAGE(G44:H44)+AVERAGE(G45:H45))</f>
        <v>0.59268170347426596</v>
      </c>
      <c r="I57" s="87">
        <f>I12/(AVERAGE(H44:I44)+AVERAGE(H45:I45))</f>
        <v>0.2761283029754612</v>
      </c>
      <c r="J57" s="95"/>
      <c r="K57" s="95"/>
    </row>
    <row r="58" spans="1:23" ht="12.5" customHeight="1" x14ac:dyDescent="0.25">
      <c r="A58" s="95"/>
      <c r="B58" s="95"/>
      <c r="C58" s="95"/>
      <c r="D58" s="95"/>
      <c r="E58" s="95"/>
      <c r="F58" s="95"/>
      <c r="G58" s="95"/>
      <c r="H58" s="95"/>
      <c r="I58" s="95"/>
      <c r="J58" s="95"/>
      <c r="K58" s="95"/>
    </row>
    <row r="59" spans="1:23" ht="12.5" customHeight="1" x14ac:dyDescent="0.25">
      <c r="A59" s="95" t="s">
        <v>262</v>
      </c>
      <c r="B59" s="95"/>
      <c r="C59" s="95"/>
      <c r="D59" s="95"/>
      <c r="E59" s="95"/>
      <c r="F59" s="87">
        <f>F60*F61*F62*F63*F64</f>
        <v>-2.30872316908032</v>
      </c>
      <c r="G59" s="87">
        <f>G60*G61*G62*G63*G64</f>
        <v>0.84748913751806521</v>
      </c>
      <c r="H59" s="87">
        <f>H60*H61*H62*H63*H64</f>
        <v>0.59268170347426608</v>
      </c>
      <c r="I59" s="87">
        <f>I60*I61*I62*I63*I64</f>
        <v>0.27612830297546115</v>
      </c>
      <c r="J59" s="95"/>
      <c r="K59" s="95"/>
    </row>
    <row r="60" spans="1:23" ht="12.5" customHeight="1" x14ac:dyDescent="0.25">
      <c r="A60" s="95" t="s">
        <v>263</v>
      </c>
      <c r="B60" s="95" t="s">
        <v>15</v>
      </c>
      <c r="C60" s="95"/>
      <c r="D60" s="95"/>
      <c r="E60" s="95"/>
      <c r="F60" s="87">
        <f>F12/F10</f>
        <v>1</v>
      </c>
      <c r="G60" s="87">
        <f>G12/G10</f>
        <v>0.89999999999999991</v>
      </c>
      <c r="H60" s="87">
        <f>H12/H10</f>
        <v>0.82557210523520652</v>
      </c>
      <c r="I60" s="87">
        <f>I12/I10</f>
        <v>0.7999999999999996</v>
      </c>
      <c r="J60" s="95"/>
      <c r="K60" s="95"/>
    </row>
    <row r="61" spans="1:23" ht="12.5" customHeight="1" x14ac:dyDescent="0.25">
      <c r="A61" s="95" t="s">
        <v>264</v>
      </c>
      <c r="B61" s="95" t="s">
        <v>15</v>
      </c>
      <c r="C61" s="95"/>
      <c r="D61" s="95"/>
      <c r="E61" s="95"/>
      <c r="F61" s="87">
        <f>F10/F8</f>
        <v>1.1388507763369475</v>
      </c>
      <c r="G61" s="87">
        <f>G10/G8</f>
        <v>0.90561703850836939</v>
      </c>
      <c r="H61" s="87">
        <f>H10/H8</f>
        <v>0.96382327095858078</v>
      </c>
      <c r="I61" s="87">
        <f>I10/I8</f>
        <v>0.98845556013904734</v>
      </c>
      <c r="J61" s="95"/>
      <c r="K61" s="95"/>
    </row>
    <row r="62" spans="1:23" ht="12.5" customHeight="1" x14ac:dyDescent="0.25">
      <c r="A62" s="95" t="s">
        <v>265</v>
      </c>
      <c r="B62" s="95" t="s">
        <v>15</v>
      </c>
      <c r="C62" s="95"/>
      <c r="D62" s="95"/>
      <c r="E62" s="95"/>
      <c r="F62" s="87">
        <f>F8/F3</f>
        <v>-0.37001920382798753</v>
      </c>
      <c r="G62" s="87">
        <f>G8/G3</f>
        <v>0.11820258838366041</v>
      </c>
      <c r="H62" s="87">
        <f>H8/H3</f>
        <v>0.13377908445229608</v>
      </c>
      <c r="I62" s="87">
        <f>I8/I3</f>
        <v>8.9752600639548041E-2</v>
      </c>
      <c r="J62" s="95"/>
      <c r="K62" s="95"/>
    </row>
    <row r="63" spans="1:23" ht="12.5" customHeight="1" x14ac:dyDescent="0.25">
      <c r="A63" s="95" t="s">
        <v>266</v>
      </c>
      <c r="B63" s="95" t="s">
        <v>214</v>
      </c>
      <c r="C63" s="95"/>
      <c r="D63" s="95"/>
      <c r="E63" s="95"/>
      <c r="F63" s="88">
        <f>F3/AVERAGE(E43:F43)</f>
        <v>2.0885713587521315</v>
      </c>
      <c r="G63" s="88">
        <f>G3/AVERAGE(F43:G43)</f>
        <v>4.0044578418335641</v>
      </c>
      <c r="H63" s="88">
        <f>H3/AVERAGE(G43:H43)</f>
        <v>4.0494842772814446</v>
      </c>
      <c r="I63" s="88">
        <f>I3/AVERAGE(H43:I43)</f>
        <v>3.4942339749111095</v>
      </c>
      <c r="J63" s="95"/>
      <c r="K63" s="95"/>
    </row>
    <row r="64" spans="1:23" ht="12.5" customHeight="1" x14ac:dyDescent="0.25">
      <c r="A64" s="95" t="s">
        <v>267</v>
      </c>
      <c r="B64" s="95" t="s">
        <v>214</v>
      </c>
      <c r="C64" s="95"/>
      <c r="D64" s="95"/>
      <c r="E64" s="95"/>
      <c r="F64" s="88">
        <f>AVERAGE(E43:F43)/(AVERAGE(E44:F44)+AVERAGE(E45:F45))</f>
        <v>2.6232003203384866</v>
      </c>
      <c r="G64" s="88">
        <f>AVERAGE(F43:G43)/(AVERAGE(F44:G44)+AVERAGE(F45:G45))</f>
        <v>2.1967282420726386</v>
      </c>
      <c r="H64" s="88">
        <f>AVERAGE(G43:H43)/(AVERAGE(G44:H44)+AVERAGE(G45:H45))</f>
        <v>1.3749318285063161</v>
      </c>
      <c r="I64" s="88">
        <f>AVERAGE(H43:I43)/(AVERAGE(H44:I44)+AVERAGE(H45:I45))</f>
        <v>1.1134347326901373</v>
      </c>
      <c r="J64" s="95"/>
      <c r="K64" s="95"/>
    </row>
    <row r="65" spans="1:11" ht="12.5" customHeight="1" x14ac:dyDescent="0.25">
      <c r="A65" s="95"/>
      <c r="B65" s="95"/>
      <c r="C65" s="95"/>
      <c r="D65" s="95"/>
      <c r="E65" s="95"/>
      <c r="F65" s="95"/>
      <c r="G65" s="95"/>
      <c r="H65" s="95"/>
      <c r="I65" s="95"/>
      <c r="J65" s="95"/>
      <c r="K65" s="95"/>
    </row>
    <row r="66" spans="1:11" s="94" customFormat="1" ht="15.75" customHeight="1" x14ac:dyDescent="0.3">
      <c r="A66" s="92" t="s">
        <v>268</v>
      </c>
      <c r="B66" s="92"/>
      <c r="C66" s="92"/>
      <c r="D66" s="92"/>
      <c r="E66" s="92"/>
      <c r="F66" s="93"/>
      <c r="G66" s="93"/>
      <c r="H66" s="93"/>
      <c r="I66" s="93"/>
      <c r="J66" s="92"/>
      <c r="K66" s="92"/>
    </row>
    <row r="67" spans="1:11" ht="12.5" customHeight="1" x14ac:dyDescent="0.25">
      <c r="A67" s="95" t="s">
        <v>269</v>
      </c>
      <c r="B67" s="95" t="s">
        <v>214</v>
      </c>
      <c r="C67" s="95"/>
      <c r="D67" s="95"/>
      <c r="E67" s="95"/>
      <c r="F67" s="88">
        <f>F41/(F47+F48)</f>
        <v>4.1579638646719728</v>
      </c>
      <c r="G67" s="88">
        <f>G41/(G47+G48)</f>
        <v>6.1490084126645046</v>
      </c>
      <c r="H67" s="88">
        <f>H41/(H47+H48)</f>
        <v>12.374196397773915</v>
      </c>
      <c r="I67" s="88">
        <f>I41/(I47+I48)</f>
        <v>17.224384478041152</v>
      </c>
      <c r="J67" s="95"/>
      <c r="K67" s="95"/>
    </row>
    <row r="68" spans="1:11" ht="12.5" customHeight="1" x14ac:dyDescent="0.25">
      <c r="A68" s="95" t="s">
        <v>270</v>
      </c>
      <c r="B68" s="95" t="s">
        <v>214</v>
      </c>
      <c r="C68" s="95"/>
      <c r="D68" s="95"/>
      <c r="E68" s="95"/>
      <c r="F68" s="88">
        <f>(F41+F38)/(F47+F48)</f>
        <v>4.6452889358952127</v>
      </c>
      <c r="G68" s="88">
        <f>(G41+G38)/(G47+G48)</f>
        <v>6.6230784095084045</v>
      </c>
      <c r="H68" s="88">
        <f>(H41+H38)/(H47+H48)</f>
        <v>12.840302472295257</v>
      </c>
      <c r="I68" s="88">
        <f>(I41+I38)/(I47+I48)</f>
        <v>17.688250386932783</v>
      </c>
      <c r="J68" s="95"/>
      <c r="K68" s="95"/>
    </row>
    <row r="69" spans="1:11" ht="12.5" customHeight="1" x14ac:dyDescent="0.25">
      <c r="A69" s="95" t="s">
        <v>271</v>
      </c>
      <c r="B69" s="95" t="s">
        <v>214</v>
      </c>
      <c r="C69" s="95"/>
      <c r="D69" s="95"/>
      <c r="E69" s="95"/>
      <c r="F69" s="88">
        <f>(F41+F38+F39)/(F47+F48)</f>
        <v>5.6895569456592971</v>
      </c>
      <c r="G69" s="88">
        <f>(G41+G38+G39)/(G47+G48)</f>
        <v>7.6389426884596183</v>
      </c>
      <c r="H69" s="88">
        <f>(H41+H38+H39)/(H47+H48)</f>
        <v>13.839101203412419</v>
      </c>
      <c r="I69" s="88">
        <f>(I41+I38+I39)/(I47+I48)</f>
        <v>18.682248763129127</v>
      </c>
      <c r="J69" s="95"/>
      <c r="K69" s="95"/>
    </row>
    <row r="70" spans="1:11" ht="12.5" customHeight="1" x14ac:dyDescent="0.25">
      <c r="A70" s="95"/>
      <c r="B70" s="95"/>
      <c r="C70" s="95"/>
      <c r="D70" s="95"/>
      <c r="E70" s="95"/>
      <c r="F70" s="95"/>
      <c r="G70" s="95"/>
      <c r="H70" s="95"/>
      <c r="I70" s="95"/>
      <c r="J70" s="95"/>
      <c r="K70" s="95"/>
    </row>
    <row r="71" spans="1:11" s="94" customFormat="1" ht="15.75" customHeight="1" x14ac:dyDescent="0.3">
      <c r="A71" s="92" t="s">
        <v>272</v>
      </c>
      <c r="B71" s="92"/>
      <c r="C71" s="92"/>
      <c r="D71" s="92"/>
      <c r="E71" s="92"/>
      <c r="F71" s="93"/>
      <c r="G71" s="93"/>
      <c r="H71" s="93"/>
      <c r="I71" s="93"/>
      <c r="J71" s="92"/>
      <c r="K71" s="92"/>
    </row>
    <row r="72" spans="1:11" ht="12.5" customHeight="1" x14ac:dyDescent="0.25">
      <c r="A72" s="95" t="s">
        <v>273</v>
      </c>
      <c r="B72" s="95" t="s">
        <v>214</v>
      </c>
      <c r="C72" s="95"/>
      <c r="D72" s="95"/>
      <c r="E72" s="95"/>
      <c r="F72" s="88">
        <f>F3/AVERAGE(E43:F43)</f>
        <v>2.0885713587521315</v>
      </c>
      <c r="G72" s="88">
        <f>G3/AVERAGE(F43:G43)</f>
        <v>4.0044578418335641</v>
      </c>
      <c r="H72" s="88">
        <f>H3/AVERAGE(G43:H43)</f>
        <v>4.0494842772814446</v>
      </c>
      <c r="I72" s="88">
        <f>I3/AVERAGE(H43:I43)</f>
        <v>3.4942339749111095</v>
      </c>
      <c r="J72" s="95"/>
      <c r="K72" s="95"/>
    </row>
    <row r="73" spans="1:11" ht="12.5" customHeight="1" x14ac:dyDescent="0.25">
      <c r="A73" s="95" t="s">
        <v>274</v>
      </c>
      <c r="B73" s="95" t="s">
        <v>214</v>
      </c>
      <c r="C73" s="95"/>
      <c r="D73" s="95"/>
      <c r="E73" s="95"/>
      <c r="F73" s="88">
        <f>F3/AVERAGE(E37:F37)</f>
        <v>2.9553772195348733</v>
      </c>
      <c r="G73" s="88">
        <f>G3/AVERAGE(F37:G37)</f>
        <v>6.0692261609771041</v>
      </c>
      <c r="H73" s="88">
        <f>H3/AVERAGE(G37:H37)</f>
        <v>10.054557087979951</v>
      </c>
      <c r="I73" s="88">
        <f>I3/AVERAGE(H37:I37)</f>
        <v>16.430234508087935</v>
      </c>
      <c r="J73" s="95"/>
      <c r="K73" s="95"/>
    </row>
    <row r="74" spans="1:11" ht="12.5" customHeight="1" x14ac:dyDescent="0.25">
      <c r="A74" s="95"/>
      <c r="B74" s="95"/>
      <c r="C74" s="95"/>
      <c r="D74" s="95"/>
      <c r="E74" s="95"/>
      <c r="F74" s="95"/>
      <c r="G74" s="95"/>
      <c r="H74" s="95"/>
      <c r="I74" s="95"/>
      <c r="J74" s="95"/>
      <c r="K74" s="95"/>
    </row>
    <row r="75" spans="1:11" ht="12.5" customHeight="1" x14ac:dyDescent="0.25">
      <c r="A75" s="95"/>
      <c r="B75" s="95"/>
      <c r="C75" s="95"/>
      <c r="D75" s="95"/>
      <c r="E75" s="95"/>
      <c r="F75" s="95"/>
      <c r="G75" s="95"/>
      <c r="H75" s="95"/>
      <c r="I75" s="95"/>
      <c r="J75" s="95"/>
      <c r="K75" s="95"/>
    </row>
    <row r="76" spans="1:11" s="94" customFormat="1" ht="15.75" customHeight="1" x14ac:dyDescent="0.3">
      <c r="A76" s="92" t="s">
        <v>276</v>
      </c>
      <c r="B76" s="92"/>
      <c r="C76" s="92"/>
      <c r="D76" s="92"/>
      <c r="E76" s="92"/>
      <c r="F76" s="93"/>
      <c r="G76" s="93"/>
      <c r="H76" s="93"/>
      <c r="I76" s="93"/>
      <c r="J76" s="92"/>
      <c r="K76" s="92"/>
    </row>
    <row r="77" spans="1:11" ht="12.5" customHeight="1" x14ac:dyDescent="0.25">
      <c r="A77" s="95" t="s">
        <v>277</v>
      </c>
      <c r="B77" s="95" t="s">
        <v>214</v>
      </c>
      <c r="C77" s="95"/>
      <c r="D77" s="95"/>
      <c r="E77" s="95"/>
      <c r="F77" s="88">
        <f>(F46+F47)/(F44+F45)</f>
        <v>2.3127744507114372</v>
      </c>
      <c r="G77" s="88">
        <f>(G46+G47)/(G44+G45)</f>
        <v>0.59569175244661865</v>
      </c>
      <c r="H77" s="88">
        <f>(H46+H47)/(H44+H45)</f>
        <v>0.13857597182940326</v>
      </c>
      <c r="I77" s="88">
        <f>(I46+I47)/(I44+I45)</f>
        <v>0</v>
      </c>
      <c r="J77" s="95"/>
      <c r="K77" s="95"/>
    </row>
    <row r="78" spans="1:11" ht="12.5" customHeight="1" x14ac:dyDescent="0.25">
      <c r="A78" s="95" t="s">
        <v>278</v>
      </c>
      <c r="B78" s="95" t="s">
        <v>214</v>
      </c>
      <c r="C78" s="95"/>
      <c r="D78" s="95"/>
      <c r="E78" s="95"/>
      <c r="F78" s="88">
        <f>(F46+F47)/F6</f>
        <v>-3.2939185640058941</v>
      </c>
      <c r="G78" s="88">
        <f>(G46+G47)/G6</f>
        <v>0.47588215652926724</v>
      </c>
      <c r="H78" s="88">
        <f>(H46+H47)/H6</f>
        <v>0.15085300300472335</v>
      </c>
      <c r="I78" s="88">
        <f>(I46+I47)/I6</f>
        <v>0</v>
      </c>
      <c r="J78" s="95"/>
      <c r="K78" s="95"/>
    </row>
    <row r="79" spans="1:11" ht="12.5" customHeight="1" x14ac:dyDescent="0.25">
      <c r="A79" s="95" t="s">
        <v>279</v>
      </c>
      <c r="B79" s="95" t="s">
        <v>214</v>
      </c>
      <c r="C79" s="95"/>
      <c r="D79" s="95"/>
      <c r="E79" s="95"/>
      <c r="F79" s="88">
        <f>(F46+F47-F41)/F6</f>
        <v>-2.6121215890904517</v>
      </c>
      <c r="G79" s="88">
        <f>(G46+G47-G41)/G6</f>
        <v>-2.8715507409177197E-2</v>
      </c>
      <c r="H79" s="88">
        <f>(H46+H47-H41)/H6</f>
        <v>-0.66773028152771319</v>
      </c>
      <c r="I79" s="88">
        <f>(I46+I47-I41)/I6</f>
        <v>-1.3361144299742955</v>
      </c>
      <c r="J79" s="95"/>
      <c r="K79" s="95"/>
    </row>
    <row r="80" spans="1:11" ht="12.5" customHeight="1" x14ac:dyDescent="0.25">
      <c r="A80" s="95" t="s">
        <v>280</v>
      </c>
      <c r="B80" s="95" t="s">
        <v>214</v>
      </c>
      <c r="C80" s="95"/>
      <c r="D80" s="95"/>
      <c r="E80" s="95"/>
      <c r="F80" s="88">
        <f>F8/(-F9)</f>
        <v>-7.2019762970090451</v>
      </c>
      <c r="G80" s="88">
        <f>G8/(-G9)</f>
        <v>10.595132682806055</v>
      </c>
      <c r="H80" s="88">
        <f>H8/(-H9)</f>
        <v>27.642078941274306</v>
      </c>
      <c r="I80" s="88">
        <f>I8/(-I9)</f>
        <v>86.621786075767488</v>
      </c>
      <c r="J80" s="95"/>
      <c r="K80" s="95"/>
    </row>
    <row r="81" spans="1:23" ht="12.5" customHeight="1" x14ac:dyDescent="0.25">
      <c r="A81" s="95"/>
      <c r="B81" s="95"/>
      <c r="C81" s="95"/>
      <c r="D81" s="95"/>
      <c r="E81" s="95"/>
      <c r="F81" s="95"/>
      <c r="G81" s="95"/>
      <c r="H81" s="95"/>
      <c r="I81" s="95"/>
      <c r="J81" s="95"/>
      <c r="K81" s="95"/>
    </row>
    <row r="82" spans="1:23" s="35" customFormat="1" ht="12.5" customHeight="1" x14ac:dyDescent="0.35">
      <c r="A82" s="105"/>
      <c r="B82" s="105"/>
      <c r="C82" s="105"/>
      <c r="D82" s="105"/>
      <c r="E82" s="105"/>
      <c r="F82" s="105"/>
      <c r="G82" s="105"/>
      <c r="H82" s="105"/>
      <c r="I82" s="105"/>
      <c r="J82" s="105"/>
      <c r="K82" s="105"/>
      <c r="L82" s="105"/>
      <c r="M82" s="105"/>
      <c r="N82" s="105"/>
      <c r="O82" s="105"/>
      <c r="P82" s="105"/>
      <c r="Q82" s="105"/>
      <c r="R82" s="105"/>
      <c r="S82" s="105"/>
      <c r="T82" s="105"/>
      <c r="U82" s="105"/>
      <c r="V82" s="105"/>
      <c r="W82" s="105"/>
    </row>
    <row r="83" spans="1:23" ht="12.5" customHeight="1" x14ac:dyDescent="0.35">
      <c r="A83" s="105"/>
      <c r="B83" s="105"/>
      <c r="C83" s="105"/>
      <c r="D83" s="105"/>
      <c r="E83" s="105"/>
      <c r="F83" s="105"/>
      <c r="G83" s="105"/>
      <c r="H83" s="105"/>
      <c r="I83" s="105"/>
      <c r="J83" s="105"/>
      <c r="K83" s="105"/>
      <c r="L83" s="105"/>
      <c r="M83" s="105"/>
      <c r="N83" s="105"/>
      <c r="O83" s="105"/>
      <c r="P83" s="105"/>
      <c r="Q83" s="105"/>
      <c r="R83" s="105"/>
      <c r="S83" s="105"/>
      <c r="T83" s="105"/>
      <c r="U83" s="105"/>
      <c r="V83" s="105"/>
      <c r="W83" s="105"/>
    </row>
    <row r="84" spans="1:23" ht="12.5" customHeight="1" x14ac:dyDescent="0.35">
      <c r="A84" s="105"/>
      <c r="B84" s="105"/>
      <c r="C84" s="105"/>
      <c r="D84" s="105"/>
      <c r="E84" s="105"/>
      <c r="F84" s="105"/>
      <c r="G84" s="105"/>
      <c r="H84" s="105"/>
      <c r="I84" s="105"/>
      <c r="J84" s="105"/>
      <c r="K84" s="105"/>
      <c r="L84" s="105"/>
      <c r="M84" s="105"/>
      <c r="N84" s="105"/>
      <c r="O84" s="105"/>
      <c r="P84" s="105"/>
      <c r="Q84" s="105"/>
      <c r="R84" s="105"/>
      <c r="S84" s="105"/>
      <c r="T84" s="105"/>
      <c r="U84" s="105"/>
      <c r="V84" s="105"/>
      <c r="W84" s="105"/>
    </row>
    <row r="85" spans="1:23" ht="12.5" customHeight="1" x14ac:dyDescent="0.35">
      <c r="A85" s="105"/>
      <c r="B85" s="105"/>
      <c r="C85" s="105"/>
      <c r="D85" s="105"/>
      <c r="E85" s="105"/>
      <c r="F85" s="105"/>
      <c r="G85" s="105"/>
      <c r="H85" s="105"/>
      <c r="I85" s="105"/>
      <c r="J85" s="105"/>
      <c r="K85" s="105"/>
      <c r="L85" s="105"/>
      <c r="M85" s="105"/>
      <c r="N85" s="105"/>
      <c r="O85" s="105"/>
      <c r="P85" s="105"/>
      <c r="Q85" s="105"/>
      <c r="R85" s="105"/>
      <c r="S85" s="105"/>
      <c r="T85" s="105"/>
      <c r="U85" s="105"/>
      <c r="V85" s="105"/>
      <c r="W85" s="105"/>
    </row>
    <row r="86" spans="1:23" ht="12.5" customHeight="1" x14ac:dyDescent="0.35">
      <c r="A86" s="105"/>
      <c r="B86" s="105"/>
      <c r="C86" s="105"/>
      <c r="D86" s="105"/>
      <c r="E86" s="105"/>
      <c r="F86" s="105"/>
      <c r="G86" s="105"/>
      <c r="H86" s="105"/>
      <c r="I86" s="105"/>
      <c r="J86" s="105"/>
      <c r="K86" s="105"/>
      <c r="L86" s="105"/>
      <c r="M86" s="105"/>
      <c r="N86" s="105"/>
      <c r="O86" s="105"/>
      <c r="P86" s="105"/>
      <c r="Q86" s="105"/>
      <c r="R86" s="105"/>
      <c r="S86" s="105"/>
      <c r="T86" s="105"/>
      <c r="U86" s="105"/>
      <c r="V86" s="105"/>
      <c r="W86" s="105"/>
    </row>
    <row r="87" spans="1:23" ht="12.5" customHeight="1" x14ac:dyDescent="0.35">
      <c r="A87" s="105"/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105"/>
      <c r="W87" s="105"/>
    </row>
    <row r="88" spans="1:23" ht="12.5" customHeight="1" x14ac:dyDescent="0.35">
      <c r="A88" s="105"/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5"/>
      <c r="R88" s="105"/>
      <c r="S88" s="105"/>
      <c r="T88" s="105"/>
      <c r="U88" s="105"/>
      <c r="V88" s="105"/>
      <c r="W88" s="105"/>
    </row>
    <row r="89" spans="1:23" ht="12.5" customHeight="1" x14ac:dyDescent="0.35">
      <c r="A89" s="105"/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5"/>
      <c r="T89" s="105"/>
      <c r="U89" s="105"/>
      <c r="V89" s="105"/>
      <c r="W89" s="105"/>
    </row>
    <row r="90" spans="1:23" ht="12.5" customHeight="1" x14ac:dyDescent="0.35">
      <c r="A90" s="105"/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5"/>
      <c r="R90" s="105"/>
      <c r="S90" s="105"/>
      <c r="T90" s="105"/>
      <c r="U90" s="105"/>
      <c r="V90" s="105"/>
      <c r="W90" s="105"/>
    </row>
    <row r="91" spans="1:23" ht="12.5" customHeight="1" x14ac:dyDescent="0.35">
      <c r="A91" s="105"/>
      <c r="B91" s="105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  <c r="O91" s="105"/>
      <c r="P91" s="105"/>
      <c r="Q91" s="105"/>
      <c r="R91" s="105"/>
      <c r="S91" s="105"/>
      <c r="T91" s="105"/>
      <c r="U91" s="105"/>
      <c r="V91" s="105"/>
      <c r="W91" s="105"/>
    </row>
    <row r="92" spans="1:23" ht="12.5" customHeight="1" x14ac:dyDescent="0.25">
      <c r="A92" s="95"/>
      <c r="B92" s="95"/>
      <c r="C92" s="95"/>
      <c r="D92" s="95"/>
      <c r="E92" s="95"/>
      <c r="F92" s="95"/>
      <c r="G92" s="95"/>
      <c r="H92" s="95"/>
      <c r="I92" s="95"/>
      <c r="J92" s="95"/>
      <c r="K92" s="95"/>
    </row>
    <row r="93" spans="1:23" ht="12.5" customHeight="1" x14ac:dyDescent="0.25">
      <c r="A93" s="95"/>
      <c r="B93" s="95"/>
      <c r="C93" s="95"/>
      <c r="D93" s="95"/>
      <c r="E93" s="95"/>
      <c r="F93" s="95"/>
      <c r="G93" s="95"/>
      <c r="H93" s="95"/>
      <c r="I93" s="95"/>
      <c r="J93" s="95"/>
      <c r="K93" s="95"/>
    </row>
    <row r="94" spans="1:23" ht="12.5" customHeight="1" x14ac:dyDescent="0.25">
      <c r="A94" s="95"/>
      <c r="B94" s="95"/>
      <c r="C94" s="95"/>
      <c r="D94" s="95"/>
      <c r="E94" s="95"/>
      <c r="F94" s="95"/>
      <c r="G94" s="95"/>
      <c r="H94" s="95"/>
      <c r="I94" s="95"/>
      <c r="J94" s="95"/>
      <c r="K94" s="95"/>
    </row>
    <row r="95" spans="1:23" ht="12.5" customHeight="1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</row>
    <row r="96" spans="1:23" ht="12.5" customHeight="1" x14ac:dyDescent="0.2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</row>
    <row r="97" spans="1:11" ht="12.5" customHeight="1" x14ac:dyDescent="0.25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</row>
    <row r="98" spans="1:11" ht="12.5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</row>
    <row r="99" spans="1:11" ht="12.5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</row>
    <row r="100" spans="1:11" ht="12.5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</row>
    <row r="101" spans="1:11" ht="12.5" customHeight="1" x14ac:dyDescent="0.2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</row>
    <row r="102" spans="1:11" ht="12.5" customHeight="1" x14ac:dyDescent="0.2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</row>
    <row r="103" spans="1:11" ht="12.5" customHeight="1" x14ac:dyDescent="0.2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</row>
    <row r="104" spans="1:11" ht="12.5" customHeight="1" x14ac:dyDescent="0.25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</row>
    <row r="105" spans="1:11" ht="12.5" customHeight="1" x14ac:dyDescent="0.25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</row>
    <row r="106" spans="1:11" ht="12.5" customHeight="1" x14ac:dyDescent="0.25">
      <c r="A106" s="95"/>
      <c r="B106" s="95"/>
      <c r="C106" s="95"/>
      <c r="D106" s="95"/>
      <c r="E106" s="95"/>
      <c r="F106" s="95"/>
      <c r="G106" s="95"/>
      <c r="H106" s="95"/>
      <c r="I106" s="95"/>
      <c r="J106" s="95"/>
      <c r="K106" s="95"/>
    </row>
    <row r="107" spans="1:11" ht="12.5" customHeight="1" x14ac:dyDescent="0.25">
      <c r="A107" s="95"/>
      <c r="B107" s="95"/>
      <c r="C107" s="95"/>
      <c r="D107" s="95"/>
      <c r="E107" s="95"/>
      <c r="F107" s="95"/>
      <c r="G107" s="95"/>
      <c r="H107" s="95"/>
      <c r="I107" s="95"/>
      <c r="J107" s="95"/>
      <c r="K107" s="95"/>
    </row>
    <row r="108" spans="1:11" ht="12.5" customHeight="1" x14ac:dyDescent="0.25">
      <c r="A108" s="95"/>
      <c r="B108" s="95"/>
      <c r="C108" s="95"/>
      <c r="D108" s="95"/>
      <c r="E108" s="95"/>
      <c r="F108" s="95"/>
      <c r="G108" s="95"/>
      <c r="H108" s="95"/>
      <c r="I108" s="95"/>
      <c r="J108" s="95"/>
      <c r="K108" s="95"/>
    </row>
    <row r="109" spans="1:11" ht="12.5" customHeight="1" x14ac:dyDescent="0.25">
      <c r="A109" s="95"/>
      <c r="B109" s="95"/>
      <c r="C109" s="95"/>
      <c r="D109" s="95"/>
      <c r="E109" s="95"/>
      <c r="F109" s="95"/>
      <c r="G109" s="95"/>
      <c r="H109" s="95"/>
      <c r="I109" s="95"/>
      <c r="J109" s="95"/>
      <c r="K109" s="95"/>
    </row>
    <row r="110" spans="1:11" ht="12.5" customHeight="1" x14ac:dyDescent="0.25">
      <c r="A110" s="95"/>
      <c r="B110" s="95"/>
      <c r="C110" s="95"/>
      <c r="D110" s="95"/>
      <c r="E110" s="95"/>
      <c r="F110" s="95"/>
      <c r="G110" s="95"/>
      <c r="H110" s="95"/>
      <c r="I110" s="95"/>
      <c r="J110" s="95"/>
      <c r="K110" s="95"/>
    </row>
    <row r="111" spans="1:11" ht="12.5" customHeight="1" x14ac:dyDescent="0.25">
      <c r="A111" s="95"/>
      <c r="B111" s="95"/>
      <c r="C111" s="95"/>
      <c r="D111" s="95"/>
      <c r="E111" s="95"/>
      <c r="F111" s="95"/>
      <c r="G111" s="95"/>
      <c r="H111" s="95"/>
      <c r="I111" s="95"/>
      <c r="J111" s="95"/>
      <c r="K111" s="95"/>
    </row>
    <row r="112" spans="1:11" ht="12.5" customHeight="1" x14ac:dyDescent="0.25">
      <c r="A112" s="95"/>
      <c r="B112" s="95"/>
      <c r="C112" s="95"/>
      <c r="D112" s="95"/>
      <c r="E112" s="95"/>
      <c r="F112" s="95"/>
      <c r="G112" s="95"/>
      <c r="H112" s="95"/>
      <c r="I112" s="95"/>
      <c r="J112" s="95"/>
      <c r="K112" s="95"/>
    </row>
    <row r="113" spans="1:11" ht="12.5" customHeight="1" x14ac:dyDescent="0.25">
      <c r="A113" s="95"/>
      <c r="B113" s="95"/>
      <c r="C113" s="95"/>
      <c r="D113" s="95"/>
      <c r="E113" s="95"/>
      <c r="F113" s="95"/>
      <c r="G113" s="95"/>
      <c r="H113" s="95"/>
      <c r="I113" s="95"/>
      <c r="J113" s="95"/>
      <c r="K113" s="95"/>
    </row>
    <row r="114" spans="1:11" ht="12.5" customHeight="1" x14ac:dyDescent="0.25">
      <c r="A114" s="95"/>
      <c r="B114" s="95"/>
      <c r="C114" s="95"/>
      <c r="D114" s="95"/>
      <c r="E114" s="95"/>
      <c r="F114" s="95"/>
      <c r="G114" s="95"/>
      <c r="H114" s="95"/>
      <c r="I114" s="95"/>
      <c r="J114" s="95"/>
      <c r="K114" s="95"/>
    </row>
    <row r="115" spans="1:11" ht="12.5" customHeight="1" x14ac:dyDescent="0.25">
      <c r="A115" s="95"/>
      <c r="B115" s="95"/>
      <c r="C115" s="95"/>
      <c r="D115" s="95"/>
      <c r="E115" s="95"/>
      <c r="F115" s="95"/>
      <c r="G115" s="95"/>
      <c r="H115" s="95"/>
      <c r="I115" s="95"/>
      <c r="J115" s="95"/>
      <c r="K115" s="95"/>
    </row>
    <row r="116" spans="1:11" ht="12.5" customHeight="1" x14ac:dyDescent="0.25">
      <c r="A116" s="95"/>
      <c r="B116" s="95"/>
      <c r="C116" s="95"/>
      <c r="D116" s="95"/>
      <c r="E116" s="95"/>
      <c r="F116" s="95"/>
      <c r="G116" s="95"/>
      <c r="H116" s="95"/>
      <c r="I116" s="95"/>
      <c r="J116" s="95"/>
      <c r="K116" s="95"/>
    </row>
    <row r="117" spans="1:11" ht="12.5" customHeight="1" x14ac:dyDescent="0.25">
      <c r="A117" s="95"/>
      <c r="B117" s="95"/>
      <c r="C117" s="95"/>
      <c r="D117" s="95"/>
      <c r="E117" s="95"/>
      <c r="F117" s="95"/>
      <c r="G117" s="95"/>
      <c r="H117" s="95"/>
      <c r="I117" s="95"/>
      <c r="J117" s="95"/>
      <c r="K117" s="95"/>
    </row>
    <row r="118" spans="1:11" ht="12.5" customHeight="1" x14ac:dyDescent="0.25">
      <c r="A118" s="95"/>
      <c r="B118" s="95"/>
      <c r="C118" s="95"/>
      <c r="D118" s="95"/>
      <c r="E118" s="95"/>
      <c r="F118" s="95"/>
      <c r="G118" s="95"/>
      <c r="H118" s="95"/>
      <c r="I118" s="95"/>
      <c r="J118" s="95"/>
      <c r="K118" s="95"/>
    </row>
    <row r="119" spans="1:11" ht="12.5" customHeight="1" x14ac:dyDescent="0.25">
      <c r="A119" s="95"/>
      <c r="B119" s="95"/>
      <c r="C119" s="95"/>
      <c r="D119" s="95"/>
      <c r="E119" s="95"/>
      <c r="F119" s="95"/>
      <c r="G119" s="95"/>
      <c r="H119" s="95"/>
      <c r="I119" s="95"/>
      <c r="J119" s="95"/>
      <c r="K119" s="95"/>
    </row>
    <row r="120" spans="1:11" ht="12.5" customHeight="1" x14ac:dyDescent="0.25">
      <c r="A120" s="95"/>
      <c r="B120" s="95"/>
      <c r="C120" s="95"/>
      <c r="D120" s="95"/>
      <c r="E120" s="95"/>
      <c r="F120" s="95"/>
      <c r="G120" s="95"/>
      <c r="H120" s="95"/>
      <c r="I120" s="95"/>
      <c r="J120" s="95"/>
      <c r="K120" s="95"/>
    </row>
    <row r="121" spans="1:11" ht="12.5" customHeight="1" x14ac:dyDescent="0.25">
      <c r="A121" s="95"/>
      <c r="B121" s="95"/>
      <c r="C121" s="95"/>
      <c r="D121" s="95"/>
      <c r="E121" s="95"/>
      <c r="F121" s="95"/>
      <c r="G121" s="95"/>
      <c r="H121" s="95"/>
      <c r="I121" s="95"/>
      <c r="J121" s="95"/>
      <c r="K121" s="95"/>
    </row>
    <row r="122" spans="1:11" ht="12.5" customHeight="1" x14ac:dyDescent="0.25">
      <c r="A122" s="95"/>
      <c r="B122" s="95"/>
      <c r="C122" s="95"/>
      <c r="D122" s="95"/>
      <c r="E122" s="95"/>
      <c r="F122" s="95"/>
      <c r="G122" s="95"/>
      <c r="H122" s="95"/>
      <c r="I122" s="95"/>
      <c r="J122" s="95"/>
      <c r="K122" s="95"/>
    </row>
    <row r="123" spans="1:11" ht="12.5" customHeight="1" x14ac:dyDescent="0.25">
      <c r="A123" s="95"/>
      <c r="B123" s="95"/>
      <c r="C123" s="95"/>
      <c r="D123" s="95"/>
      <c r="E123" s="95"/>
      <c r="F123" s="95"/>
      <c r="G123" s="95"/>
      <c r="H123" s="95"/>
      <c r="I123" s="95"/>
      <c r="J123" s="95"/>
      <c r="K123" s="95"/>
    </row>
    <row r="124" spans="1:11" ht="12.5" customHeight="1" x14ac:dyDescent="0.25">
      <c r="A124" s="95"/>
      <c r="B124" s="95"/>
      <c r="C124" s="95"/>
      <c r="D124" s="95"/>
      <c r="E124" s="95"/>
      <c r="F124" s="95"/>
      <c r="G124" s="95"/>
      <c r="H124" s="95"/>
      <c r="I124" s="95"/>
      <c r="J124" s="95"/>
      <c r="K124" s="95"/>
    </row>
    <row r="125" spans="1:11" ht="12.5" customHeight="1" x14ac:dyDescent="0.25">
      <c r="A125" s="95"/>
      <c r="B125" s="95"/>
      <c r="C125" s="95"/>
      <c r="D125" s="95"/>
      <c r="E125" s="95"/>
      <c r="F125" s="95"/>
      <c r="G125" s="95"/>
      <c r="H125" s="95"/>
      <c r="I125" s="95"/>
      <c r="J125" s="95"/>
      <c r="K125" s="95"/>
    </row>
    <row r="126" spans="1:11" ht="12.5" customHeight="1" x14ac:dyDescent="0.25">
      <c r="A126" s="95"/>
      <c r="B126" s="95"/>
      <c r="C126" s="95"/>
      <c r="D126" s="95"/>
      <c r="E126" s="95"/>
      <c r="F126" s="95"/>
      <c r="G126" s="95"/>
      <c r="H126" s="95"/>
      <c r="I126" s="95"/>
      <c r="J126" s="95"/>
      <c r="K126" s="95"/>
    </row>
    <row r="127" spans="1:11" ht="12.5" customHeight="1" x14ac:dyDescent="0.25">
      <c r="A127" s="95"/>
      <c r="B127" s="95"/>
      <c r="C127" s="95"/>
      <c r="D127" s="95"/>
      <c r="E127" s="95"/>
      <c r="F127" s="95"/>
      <c r="G127" s="95"/>
      <c r="H127" s="95"/>
      <c r="I127" s="95"/>
      <c r="J127" s="95"/>
      <c r="K127" s="95"/>
    </row>
    <row r="128" spans="1:11" ht="12.5" customHeight="1" x14ac:dyDescent="0.25">
      <c r="A128" s="95"/>
      <c r="B128" s="95"/>
      <c r="C128" s="95"/>
      <c r="D128" s="95"/>
      <c r="E128" s="95"/>
      <c r="F128" s="95"/>
      <c r="G128" s="95"/>
      <c r="H128" s="95"/>
      <c r="I128" s="95"/>
      <c r="J128" s="95"/>
      <c r="K128" s="95"/>
    </row>
    <row r="129" spans="1:11" ht="12.5" customHeight="1" x14ac:dyDescent="0.25">
      <c r="A129" s="95"/>
      <c r="B129" s="95"/>
      <c r="C129" s="95"/>
      <c r="D129" s="95"/>
      <c r="E129" s="95"/>
      <c r="F129" s="95"/>
      <c r="G129" s="95"/>
      <c r="H129" s="95"/>
      <c r="I129" s="95"/>
      <c r="J129" s="95"/>
      <c r="K129" s="95"/>
    </row>
    <row r="130" spans="1:11" ht="12.5" customHeight="1" x14ac:dyDescent="0.25">
      <c r="A130" s="95"/>
      <c r="B130" s="95"/>
      <c r="C130" s="95"/>
      <c r="D130" s="95"/>
      <c r="E130" s="95"/>
      <c r="F130" s="95"/>
      <c r="G130" s="95"/>
      <c r="H130" s="95"/>
      <c r="I130" s="95"/>
      <c r="J130" s="95"/>
      <c r="K130" s="95"/>
    </row>
    <row r="131" spans="1:11" ht="12.5" customHeight="1" x14ac:dyDescent="0.25">
      <c r="A131" s="95"/>
      <c r="B131" s="95"/>
      <c r="C131" s="95"/>
      <c r="D131" s="95"/>
      <c r="E131" s="95"/>
      <c r="F131" s="95"/>
      <c r="G131" s="95"/>
      <c r="H131" s="95"/>
      <c r="I131" s="95"/>
      <c r="J131" s="95"/>
      <c r="K131" s="95"/>
    </row>
    <row r="132" spans="1:11" ht="12.5" customHeight="1" x14ac:dyDescent="0.25">
      <c r="A132" s="95"/>
      <c r="B132" s="95"/>
      <c r="C132" s="95"/>
      <c r="D132" s="95"/>
      <c r="E132" s="95"/>
      <c r="F132" s="95"/>
      <c r="G132" s="95"/>
      <c r="H132" s="95"/>
      <c r="I132" s="95"/>
      <c r="J132" s="95"/>
      <c r="K132" s="95"/>
    </row>
    <row r="133" spans="1:11" ht="12.5" customHeight="1" x14ac:dyDescent="0.25">
      <c r="A133" s="95"/>
      <c r="B133" s="95"/>
      <c r="C133" s="95"/>
      <c r="D133" s="95"/>
      <c r="E133" s="95"/>
      <c r="F133" s="95"/>
      <c r="G133" s="95"/>
      <c r="H133" s="95"/>
      <c r="I133" s="95"/>
      <c r="J133" s="95"/>
      <c r="K133" s="95"/>
    </row>
    <row r="134" spans="1:11" ht="12.5" customHeight="1" x14ac:dyDescent="0.25">
      <c r="A134" s="95"/>
      <c r="B134" s="95"/>
      <c r="C134" s="95"/>
      <c r="D134" s="95"/>
      <c r="E134" s="95"/>
      <c r="F134" s="95"/>
      <c r="G134" s="95"/>
      <c r="H134" s="95"/>
      <c r="I134" s="95"/>
      <c r="J134" s="95"/>
      <c r="K134" s="95"/>
    </row>
    <row r="135" spans="1:11" ht="12.5" customHeight="1" x14ac:dyDescent="0.25">
      <c r="A135" s="95"/>
      <c r="B135" s="95"/>
      <c r="C135" s="95"/>
      <c r="D135" s="95"/>
      <c r="E135" s="95"/>
      <c r="F135" s="95"/>
      <c r="G135" s="95"/>
      <c r="H135" s="95"/>
      <c r="I135" s="95"/>
      <c r="J135" s="95"/>
      <c r="K135" s="95"/>
    </row>
    <row r="136" spans="1:11" ht="12.5" customHeight="1" x14ac:dyDescent="0.25">
      <c r="A136" s="95"/>
      <c r="B136" s="95"/>
      <c r="C136" s="95"/>
      <c r="D136" s="95"/>
      <c r="E136" s="95"/>
      <c r="F136" s="95"/>
      <c r="G136" s="95"/>
      <c r="H136" s="95"/>
      <c r="I136" s="95"/>
      <c r="J136" s="95"/>
      <c r="K136" s="95"/>
    </row>
    <row r="137" spans="1:11" ht="12.5" customHeight="1" x14ac:dyDescent="0.25">
      <c r="A137" s="95"/>
      <c r="B137" s="95"/>
      <c r="C137" s="95"/>
      <c r="D137" s="95"/>
      <c r="E137" s="95"/>
      <c r="F137" s="95"/>
      <c r="G137" s="95"/>
      <c r="H137" s="95"/>
      <c r="I137" s="95"/>
      <c r="J137" s="95"/>
      <c r="K137" s="95"/>
    </row>
    <row r="138" spans="1:11" ht="12.5" customHeight="1" x14ac:dyDescent="0.25">
      <c r="A138" s="95"/>
      <c r="B138" s="95"/>
      <c r="C138" s="95"/>
      <c r="D138" s="95"/>
      <c r="E138" s="95"/>
      <c r="F138" s="95"/>
      <c r="G138" s="95"/>
      <c r="H138" s="95"/>
      <c r="I138" s="95"/>
      <c r="J138" s="95"/>
      <c r="K138" s="95"/>
    </row>
    <row r="139" spans="1:11" ht="12.5" customHeight="1" x14ac:dyDescent="0.25">
      <c r="A139" s="95"/>
      <c r="B139" s="95"/>
      <c r="C139" s="95"/>
      <c r="D139" s="95"/>
      <c r="E139" s="95"/>
      <c r="F139" s="95"/>
      <c r="G139" s="95"/>
      <c r="H139" s="95"/>
      <c r="I139" s="95"/>
      <c r="J139" s="95"/>
      <c r="K139" s="95"/>
    </row>
    <row r="140" spans="1:11" ht="12.5" customHeight="1" x14ac:dyDescent="0.25">
      <c r="A140" s="95"/>
      <c r="B140" s="95"/>
      <c r="C140" s="95"/>
      <c r="D140" s="95"/>
      <c r="E140" s="95"/>
      <c r="F140" s="95"/>
      <c r="G140" s="95"/>
      <c r="H140" s="95"/>
      <c r="I140" s="95"/>
      <c r="J140" s="95"/>
      <c r="K140" s="95"/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X70"/>
  <sheetViews>
    <sheetView zoomScaleNormal="100" workbookViewId="0">
      <selection activeCell="E58" sqref="E58"/>
    </sheetView>
  </sheetViews>
  <sheetFormatPr defaultColWidth="12.6328125" defaultRowHeight="15.75" customHeight="1" x14ac:dyDescent="0.25"/>
  <cols>
    <col min="1" max="1" width="52.26953125" style="8" customWidth="1"/>
    <col min="3" max="3" width="13.1796875" style="97" bestFit="1" customWidth="1"/>
    <col min="5" max="6" width="3.6328125" style="8" customWidth="1"/>
    <col min="24" max="24" width="13.7265625" style="8" bestFit="1" customWidth="1"/>
  </cols>
  <sheetData>
    <row r="1" spans="1:24" ht="15.75" customHeight="1" x14ac:dyDescent="0.35">
      <c r="A1" s="157" t="s">
        <v>0</v>
      </c>
      <c r="B1" s="157" t="s">
        <v>1</v>
      </c>
      <c r="C1" s="165" t="s">
        <v>2</v>
      </c>
      <c r="D1" s="4"/>
      <c r="E1" s="1"/>
      <c r="F1" s="1"/>
      <c r="G1" s="120" t="s">
        <v>4</v>
      </c>
      <c r="H1" s="159" t="s">
        <v>5</v>
      </c>
      <c r="I1" s="160"/>
      <c r="J1" s="160"/>
      <c r="K1" s="161"/>
      <c r="L1" s="159" t="s">
        <v>6</v>
      </c>
      <c r="M1" s="160"/>
      <c r="N1" s="160"/>
      <c r="O1" s="161"/>
      <c r="P1" s="159" t="s">
        <v>7</v>
      </c>
      <c r="Q1" s="160"/>
      <c r="R1" s="160"/>
      <c r="S1" s="161"/>
      <c r="T1" s="159" t="s">
        <v>8</v>
      </c>
      <c r="U1" s="160"/>
      <c r="V1" s="160"/>
      <c r="W1" s="161"/>
      <c r="X1" s="159" t="s">
        <v>281</v>
      </c>
    </row>
    <row r="2" spans="1:24" ht="15.75" customHeight="1" x14ac:dyDescent="0.35">
      <c r="A2" s="158"/>
      <c r="B2" s="158"/>
      <c r="C2" s="158"/>
      <c r="D2" s="4"/>
      <c r="E2" s="1"/>
      <c r="F2" s="1"/>
      <c r="G2" s="119" t="s">
        <v>9</v>
      </c>
      <c r="H2" s="119" t="s">
        <v>10</v>
      </c>
      <c r="I2" s="119" t="s">
        <v>11</v>
      </c>
      <c r="J2" s="119" t="s">
        <v>12</v>
      </c>
      <c r="K2" s="119" t="s">
        <v>9</v>
      </c>
      <c r="L2" s="119" t="s">
        <v>10</v>
      </c>
      <c r="M2" s="119" t="s">
        <v>11</v>
      </c>
      <c r="N2" s="119" t="s">
        <v>12</v>
      </c>
      <c r="O2" s="119" t="s">
        <v>9</v>
      </c>
      <c r="P2" s="119" t="s">
        <v>10</v>
      </c>
      <c r="Q2" s="119" t="s">
        <v>11</v>
      </c>
      <c r="R2" s="119" t="s">
        <v>12</v>
      </c>
      <c r="S2" s="119" t="s">
        <v>9</v>
      </c>
      <c r="T2" s="119" t="s">
        <v>10</v>
      </c>
      <c r="U2" s="119" t="s">
        <v>11</v>
      </c>
      <c r="V2" s="119" t="s">
        <v>12</v>
      </c>
      <c r="W2" s="119" t="s">
        <v>9</v>
      </c>
      <c r="X2" s="158"/>
    </row>
    <row r="3" spans="1:24" ht="15.75" customHeight="1" x14ac:dyDescent="0.35">
      <c r="A3" s="1"/>
      <c r="B3" s="1"/>
      <c r="C3" s="9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.75" customHeight="1" x14ac:dyDescent="0.35">
      <c r="A4" s="106" t="s">
        <v>282</v>
      </c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7"/>
    </row>
    <row r="5" spans="1:24" ht="14.5" customHeight="1" x14ac:dyDescent="0.35">
      <c r="A5" s="108" t="s">
        <v>283</v>
      </c>
      <c r="B5" s="109" t="s">
        <v>89</v>
      </c>
      <c r="C5" s="110"/>
      <c r="D5" s="107"/>
      <c r="E5" s="107"/>
      <c r="F5" s="107"/>
      <c r="G5" s="107"/>
      <c r="H5" s="111">
        <f t="shared" ref="H5:W5" si="0">H6+H7+H8</f>
        <v>-17357.493750000001</v>
      </c>
      <c r="I5" s="111">
        <f t="shared" si="0"/>
        <v>-1796.9675885014026</v>
      </c>
      <c r="J5" s="111">
        <f t="shared" si="0"/>
        <v>1521.6072944454722</v>
      </c>
      <c r="K5" s="111">
        <f t="shared" si="0"/>
        <v>63.175362775563485</v>
      </c>
      <c r="L5" s="111">
        <f t="shared" si="0"/>
        <v>711.04847263776173</v>
      </c>
      <c r="M5" s="111">
        <f t="shared" si="0"/>
        <v>1710.6566919099278</v>
      </c>
      <c r="N5" s="111">
        <f t="shared" si="0"/>
        <v>2742.6466677766407</v>
      </c>
      <c r="O5" s="111">
        <f t="shared" si="0"/>
        <v>3142.6678069790864</v>
      </c>
      <c r="P5" s="111">
        <f t="shared" si="0"/>
        <v>3022.086543119115</v>
      </c>
      <c r="Q5" s="111">
        <f t="shared" si="0"/>
        <v>2746.799574279938</v>
      </c>
      <c r="R5" s="111">
        <f t="shared" si="0"/>
        <v>2730.1610400817931</v>
      </c>
      <c r="S5" s="111">
        <f t="shared" si="0"/>
        <v>2711.5467212422482</v>
      </c>
      <c r="T5" s="111">
        <f t="shared" si="0"/>
        <v>2299.6746622694441</v>
      </c>
      <c r="U5" s="111">
        <f t="shared" si="0"/>
        <v>2268.9947677835744</v>
      </c>
      <c r="V5" s="111">
        <f t="shared" si="0"/>
        <v>2235.8834523249634</v>
      </c>
      <c r="W5" s="111">
        <f t="shared" si="0"/>
        <v>2200.2286278574611</v>
      </c>
      <c r="X5" s="107"/>
    </row>
    <row r="6" spans="1:24" ht="14.5" customHeight="1" x14ac:dyDescent="0.35">
      <c r="A6" s="110" t="s">
        <v>284</v>
      </c>
      <c r="B6" s="109" t="s">
        <v>89</v>
      </c>
      <c r="C6" s="110"/>
      <c r="D6" s="107"/>
      <c r="E6" s="107"/>
      <c r="F6" s="107"/>
      <c r="G6" s="107"/>
      <c r="H6" s="112">
        <f>Отчетность!H40</f>
        <v>-4964.3687499999996</v>
      </c>
      <c r="I6" s="112">
        <f>Отчетность!I40</f>
        <v>-1378.0836599299739</v>
      </c>
      <c r="J6" s="112">
        <f>Отчетность!J40</f>
        <v>1987.0090801597578</v>
      </c>
      <c r="K6" s="112">
        <f>Отчетность!K40</f>
        <v>576.65750563270637</v>
      </c>
      <c r="L6" s="112">
        <f>Отчетность!L40</f>
        <v>1274.2515976377617</v>
      </c>
      <c r="M6" s="112">
        <f>Отчетность!M40</f>
        <v>2325.3034553027851</v>
      </c>
      <c r="N6" s="112">
        <f>Отчетность!N40</f>
        <v>3410.5458586248542</v>
      </c>
      <c r="O6" s="112">
        <f>Отчетность!O40</f>
        <v>3865.7186537982839</v>
      </c>
      <c r="P6" s="112">
        <f>Отчетность!P40</f>
        <v>3802.2832358507003</v>
      </c>
      <c r="Q6" s="112">
        <f>Отчетность!Q40</f>
        <v>3586.2360123623894</v>
      </c>
      <c r="R6" s="112">
        <f>Отчетность!R40</f>
        <v>3631.0358179255081</v>
      </c>
      <c r="S6" s="112">
        <f>Отчетность!S40</f>
        <v>3676.168362978151</v>
      </c>
      <c r="T6" s="112">
        <f>Отчетность!T40</f>
        <v>3330.4671182349975</v>
      </c>
      <c r="U6" s="112">
        <f>Отчетность!U40</f>
        <v>3368.5031858331181</v>
      </c>
      <c r="V6" s="112">
        <f>Отчетность!V40</f>
        <v>3406.7802377055577</v>
      </c>
      <c r="W6" s="112">
        <f>Отчетность!W40</f>
        <v>3437.6858775070832</v>
      </c>
      <c r="X6" s="107"/>
    </row>
    <row r="7" spans="1:24" ht="14.5" customHeight="1" x14ac:dyDescent="0.35">
      <c r="A7" s="110" t="s">
        <v>285</v>
      </c>
      <c r="B7" s="109" t="s">
        <v>89</v>
      </c>
      <c r="C7" s="110"/>
      <c r="D7" s="107"/>
      <c r="E7" s="107"/>
      <c r="F7" s="107"/>
      <c r="G7" s="107"/>
      <c r="H7" s="112">
        <f>-Отчетность!H12*(1-$D$22)</f>
        <v>106.875</v>
      </c>
      <c r="I7" s="112">
        <f>-Отчетность!I12*(1-$D$22)</f>
        <v>206.11607142857144</v>
      </c>
      <c r="J7" s="112">
        <f>-Отчетность!J12*(1-$D$22)</f>
        <v>190.84821428571428</v>
      </c>
      <c r="K7" s="112">
        <f>-Отчетность!K12*(1-$D$22)</f>
        <v>175.58035714285711</v>
      </c>
      <c r="L7" s="112">
        <f>-Отчетность!L12*(1-$D$22)</f>
        <v>160.31249999999997</v>
      </c>
      <c r="M7" s="112">
        <f>-Отчетность!M12*(1-$D$22)</f>
        <v>145.0446428571428</v>
      </c>
      <c r="N7" s="112">
        <f>-Отчетность!N12*(1-$D$22)</f>
        <v>129.77678571428569</v>
      </c>
      <c r="O7" s="112">
        <f>-Отчетность!O12*(1-$D$22)</f>
        <v>114.50892857142854</v>
      </c>
      <c r="P7" s="112">
        <f>-Отчетность!P12*(1-$D$22)</f>
        <v>99.241071428571431</v>
      </c>
      <c r="Q7" s="112">
        <f>-Отчетность!Q12*(1-$D$22)</f>
        <v>83.973214285714278</v>
      </c>
      <c r="R7" s="112">
        <f>-Отчетность!R12*(1-$D$22)</f>
        <v>68.705357142857139</v>
      </c>
      <c r="S7" s="112">
        <f>-Отчетность!S12*(1-$D$22)</f>
        <v>53.4375</v>
      </c>
      <c r="T7" s="112">
        <f>-Отчетность!T12*(1-$D$22)</f>
        <v>38.169642857142847</v>
      </c>
      <c r="U7" s="112">
        <f>-Отчетность!U12*(1-$D$22)</f>
        <v>22.901785714285708</v>
      </c>
      <c r="V7" s="112">
        <f>-Отчетность!V12*(1-$D$22)</f>
        <v>7.6339285714285685</v>
      </c>
      <c r="W7" s="112">
        <f>-Отчетность!W12*(1-$D$22)</f>
        <v>0</v>
      </c>
      <c r="X7" s="107"/>
    </row>
    <row r="8" spans="1:24" ht="14.5" customHeight="1" x14ac:dyDescent="0.35">
      <c r="A8" s="110" t="s">
        <v>286</v>
      </c>
      <c r="B8" s="109" t="s">
        <v>89</v>
      </c>
      <c r="C8" s="110"/>
      <c r="D8" s="107"/>
      <c r="E8" s="107"/>
      <c r="F8" s="107"/>
      <c r="G8" s="107"/>
      <c r="H8" s="112">
        <f>Отчетность!H43</f>
        <v>-12500</v>
      </c>
      <c r="I8" s="112">
        <f>Отчетность!I43</f>
        <v>-625</v>
      </c>
      <c r="J8" s="112">
        <f>Отчетность!J43</f>
        <v>-656.25</v>
      </c>
      <c r="K8" s="112">
        <f>Отчетность!K43</f>
        <v>-689.0625</v>
      </c>
      <c r="L8" s="112">
        <f>Отчетность!L43</f>
        <v>-723.515625</v>
      </c>
      <c r="M8" s="112">
        <f>Отчетность!M43</f>
        <v>-759.69140625</v>
      </c>
      <c r="N8" s="112">
        <f>Отчетность!N43</f>
        <v>-797.67597656249927</v>
      </c>
      <c r="O8" s="112">
        <f>Отчетность!O43</f>
        <v>-837.55977539062587</v>
      </c>
      <c r="P8" s="112">
        <f>Отчетность!P43</f>
        <v>-879.4377641601568</v>
      </c>
      <c r="Q8" s="112">
        <f>Отчетность!Q43</f>
        <v>-923.40965236816555</v>
      </c>
      <c r="R8" s="112">
        <f>Отчетность!R43</f>
        <v>-969.58013498657238</v>
      </c>
      <c r="S8" s="112">
        <f>Отчетность!S43</f>
        <v>-1018.0591417359028</v>
      </c>
      <c r="T8" s="112">
        <f>Отчетность!T43</f>
        <v>-1068.9620988226961</v>
      </c>
      <c r="U8" s="112">
        <f>Отчетность!U43</f>
        <v>-1122.4102037638295</v>
      </c>
      <c r="V8" s="112">
        <f>Отчетность!V43</f>
        <v>-1178.5307139520228</v>
      </c>
      <c r="W8" s="112">
        <f>Отчетность!W43</f>
        <v>-1237.4572496496221</v>
      </c>
      <c r="X8" s="107"/>
    </row>
    <row r="9" spans="1:24" ht="14.5" customHeight="1" x14ac:dyDescent="0.35">
      <c r="A9" s="107"/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</row>
    <row r="10" spans="1:24" ht="14.5" customHeight="1" x14ac:dyDescent="0.35">
      <c r="A10" s="110" t="s">
        <v>287</v>
      </c>
      <c r="B10" s="109" t="s">
        <v>214</v>
      </c>
      <c r="C10" s="110"/>
      <c r="D10" s="107"/>
      <c r="E10" s="107"/>
      <c r="F10" s="107"/>
      <c r="G10" s="113">
        <v>1</v>
      </c>
      <c r="H10" s="113">
        <f t="shared" ref="H10:W10" si="1">G10/(1+H24)</f>
        <v>0.97738559609325693</v>
      </c>
      <c r="I10" s="113">
        <f t="shared" si="1"/>
        <v>0.95279588162243367</v>
      </c>
      <c r="J10" s="113">
        <f t="shared" si="1"/>
        <v>0.92976631182847436</v>
      </c>
      <c r="K10" s="113">
        <f t="shared" si="1"/>
        <v>0.90740693456669985</v>
      </c>
      <c r="L10" s="113">
        <f t="shared" si="1"/>
        <v>0.88504191477393246</v>
      </c>
      <c r="M10" s="113">
        <f t="shared" si="1"/>
        <v>0.86173623909230945</v>
      </c>
      <c r="N10" s="113">
        <f t="shared" si="1"/>
        <v>0.83700514159582196</v>
      </c>
      <c r="O10" s="113">
        <f t="shared" si="1"/>
        <v>0.81121882814334978</v>
      </c>
      <c r="P10" s="113">
        <f t="shared" si="1"/>
        <v>0.78487511916521524</v>
      </c>
      <c r="Q10" s="113">
        <f t="shared" si="1"/>
        <v>0.75834530519403942</v>
      </c>
      <c r="R10" s="113">
        <f t="shared" si="1"/>
        <v>0.73183475161929445</v>
      </c>
      <c r="S10" s="113">
        <f t="shared" si="1"/>
        <v>0.70550367391459934</v>
      </c>
      <c r="T10" s="113">
        <f t="shared" si="1"/>
        <v>0.67949716857825948</v>
      </c>
      <c r="U10" s="113">
        <f t="shared" si="1"/>
        <v>0.65388958025738875</v>
      </c>
      <c r="V10" s="113">
        <f t="shared" si="1"/>
        <v>0.62873998101671991</v>
      </c>
      <c r="W10" s="113">
        <f t="shared" si="1"/>
        <v>0.60455767405453831</v>
      </c>
      <c r="X10" s="107"/>
    </row>
    <row r="11" spans="1:24" ht="14.5" customHeight="1" x14ac:dyDescent="0.35">
      <c r="A11" s="110" t="s">
        <v>288</v>
      </c>
      <c r="B11" s="109" t="s">
        <v>89</v>
      </c>
      <c r="C11" s="107"/>
      <c r="D11" s="107"/>
      <c r="E11" s="107"/>
      <c r="F11" s="107"/>
      <c r="G11" s="107"/>
      <c r="H11" s="112">
        <f t="shared" ref="H11:W11" si="2">H5*H10</f>
        <v>-16964.964375528732</v>
      </c>
      <c r="I11" s="112">
        <f t="shared" si="2"/>
        <v>-1712.1433177331326</v>
      </c>
      <c r="J11" s="112">
        <f t="shared" si="2"/>
        <v>1414.7392022078702</v>
      </c>
      <c r="K11" s="112">
        <f t="shared" si="2"/>
        <v>57.325762276313263</v>
      </c>
      <c r="L11" s="112">
        <f t="shared" si="2"/>
        <v>629.30770172040479</v>
      </c>
      <c r="M11" s="112">
        <f t="shared" si="2"/>
        <v>1474.1348640645526</v>
      </c>
      <c r="N11" s="112">
        <f t="shared" si="2"/>
        <v>2295.6093625096964</v>
      </c>
      <c r="O11" s="112">
        <f t="shared" si="2"/>
        <v>2549.3912956214053</v>
      </c>
      <c r="P11" s="112">
        <f t="shared" si="2"/>
        <v>2371.9605356582088</v>
      </c>
      <c r="Q11" s="112">
        <f t="shared" si="2"/>
        <v>2083.0225614641772</v>
      </c>
      <c r="R11" s="112">
        <f t="shared" si="2"/>
        <v>1998.0267266489336</v>
      </c>
      <c r="S11" s="112">
        <f t="shared" si="2"/>
        <v>1913.0061738274921</v>
      </c>
      <c r="T11" s="112">
        <f t="shared" si="2"/>
        <v>1562.6224216632525</v>
      </c>
      <c r="U11" s="112">
        <f t="shared" si="2"/>
        <v>1483.6720363122126</v>
      </c>
      <c r="V11" s="112">
        <f t="shared" si="2"/>
        <v>1405.7893193703956</v>
      </c>
      <c r="W11" s="112">
        <f t="shared" si="2"/>
        <v>1330.1651016457151</v>
      </c>
      <c r="X11" s="107"/>
    </row>
    <row r="12" spans="1:24" ht="14.5" customHeight="1" x14ac:dyDescent="0.35">
      <c r="A12" s="107"/>
      <c r="B12" s="107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</row>
    <row r="13" spans="1:24" ht="15.75" customHeight="1" x14ac:dyDescent="0.35">
      <c r="A13" s="106" t="s">
        <v>289</v>
      </c>
      <c r="B13" s="106"/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7"/>
    </row>
    <row r="14" spans="1:24" ht="14.5" customHeight="1" x14ac:dyDescent="0.35">
      <c r="A14" s="110" t="s">
        <v>290</v>
      </c>
      <c r="B14" s="109" t="s">
        <v>89</v>
      </c>
      <c r="C14" s="110"/>
      <c r="D14" s="107"/>
      <c r="E14" s="107"/>
      <c r="F14" s="107"/>
      <c r="G14" s="112">
        <f>Отчетность!G26</f>
        <v>2000</v>
      </c>
      <c r="H14" s="112">
        <f>Отчетность!H26</f>
        <v>3618.09375</v>
      </c>
      <c r="I14" s="112">
        <f>Отчетность!I26</f>
        <v>6066.5442355246705</v>
      </c>
      <c r="J14" s="112">
        <f>Отчетность!J26</f>
        <v>4523.7819639605796</v>
      </c>
      <c r="K14" s="112">
        <f>Отчетность!K26</f>
        <v>4034.2702419542084</v>
      </c>
      <c r="L14" s="112">
        <f>Отчетность!L26</f>
        <v>4186.3768087050003</v>
      </c>
      <c r="M14" s="112">
        <f>Отчетность!M26</f>
        <v>5329.924445926008</v>
      </c>
      <c r="N14" s="112">
        <f>Отчетность!N26</f>
        <v>7496.0739873252987</v>
      </c>
      <c r="O14" s="112">
        <f>Отчетность!O26</f>
        <v>9967.4034022018332</v>
      </c>
      <c r="P14" s="112">
        <f>Отчетность!P26</f>
        <v>12307.830940962736</v>
      </c>
      <c r="Q14" s="112">
        <f>Отчетность!Q26</f>
        <v>14359.4433324974</v>
      </c>
      <c r="R14" s="112">
        <f>Отчетность!R26</f>
        <v>16378.937899840479</v>
      </c>
      <c r="S14" s="112">
        <f>Отчетность!S26</f>
        <v>18362.800011790576</v>
      </c>
      <c r="T14" s="112">
        <f>Отчетность!T26</f>
        <v>19916.156130203486</v>
      </c>
      <c r="U14" s="112">
        <f>Отчетность!U26</f>
        <v>21418.50182252478</v>
      </c>
      <c r="V14" s="112">
        <f>Отчетность!V26</f>
        <v>22865.624231752565</v>
      </c>
      <c r="W14" s="112">
        <f>Отчетность!W26</f>
        <v>24245.475403335498</v>
      </c>
      <c r="X14" s="107"/>
    </row>
    <row r="15" spans="1:24" ht="14.5" customHeight="1" x14ac:dyDescent="0.35">
      <c r="A15" s="110" t="s">
        <v>291</v>
      </c>
      <c r="B15" s="109" t="s">
        <v>89</v>
      </c>
      <c r="C15" s="110"/>
      <c r="D15" s="107"/>
      <c r="E15" s="107"/>
      <c r="F15" s="107"/>
      <c r="G15" s="112">
        <f>Отчетность!G27</f>
        <v>0</v>
      </c>
      <c r="H15" s="112">
        <f>Отчетность!H27</f>
        <v>11875</v>
      </c>
      <c r="I15" s="112">
        <f>Отчетность!I27</f>
        <v>11026.785714285714</v>
      </c>
      <c r="J15" s="112">
        <f>Отчетность!J27</f>
        <v>10178.571428571428</v>
      </c>
      <c r="K15" s="112">
        <f>Отчетность!K27</f>
        <v>9330.3571428571413</v>
      </c>
      <c r="L15" s="112">
        <f>Отчетность!L27</f>
        <v>8482.1428571428551</v>
      </c>
      <c r="M15" s="112">
        <f>Отчетность!M27</f>
        <v>7633.9285714285697</v>
      </c>
      <c r="N15" s="112">
        <f>Отчетность!N27</f>
        <v>6785.7142857142844</v>
      </c>
      <c r="O15" s="112">
        <f>Отчетность!O27</f>
        <v>5937.4999999999991</v>
      </c>
      <c r="P15" s="112">
        <f>Отчетность!P27</f>
        <v>5089.2857142857138</v>
      </c>
      <c r="Q15" s="112">
        <f>Отчетность!Q27</f>
        <v>4241.0714285714284</v>
      </c>
      <c r="R15" s="112">
        <f>Отчетность!R27</f>
        <v>3392.8571428571427</v>
      </c>
      <c r="S15" s="112">
        <f>Отчетность!S27</f>
        <v>2544.6428571428569</v>
      </c>
      <c r="T15" s="112">
        <f>Отчетность!T27</f>
        <v>1696.4285714285711</v>
      </c>
      <c r="U15" s="112">
        <f>Отчетность!U27</f>
        <v>848.21428571428544</v>
      </c>
      <c r="V15" s="112">
        <f>Отчетность!V27</f>
        <v>0</v>
      </c>
      <c r="W15" s="112">
        <f>Отчетность!W27</f>
        <v>0</v>
      </c>
      <c r="X15" s="107"/>
    </row>
    <row r="16" spans="1:24" ht="14.5" customHeight="1" x14ac:dyDescent="0.35">
      <c r="A16" s="110" t="s">
        <v>292</v>
      </c>
      <c r="B16" s="109" t="s">
        <v>89</v>
      </c>
      <c r="C16" s="107"/>
      <c r="D16" s="107"/>
      <c r="E16" s="107"/>
      <c r="F16" s="107"/>
      <c r="G16" s="112">
        <f t="shared" ref="G16:W16" si="3">G14+G15</f>
        <v>2000</v>
      </c>
      <c r="H16" s="112">
        <f t="shared" si="3"/>
        <v>15493.09375</v>
      </c>
      <c r="I16" s="112">
        <f t="shared" si="3"/>
        <v>17093.329949810384</v>
      </c>
      <c r="J16" s="112">
        <f t="shared" si="3"/>
        <v>14702.353392532008</v>
      </c>
      <c r="K16" s="112">
        <f t="shared" si="3"/>
        <v>13364.627384811349</v>
      </c>
      <c r="L16" s="112">
        <f t="shared" si="3"/>
        <v>12668.519665847856</v>
      </c>
      <c r="M16" s="112">
        <f t="shared" si="3"/>
        <v>12963.853017354577</v>
      </c>
      <c r="N16" s="112">
        <f t="shared" si="3"/>
        <v>14281.788273039583</v>
      </c>
      <c r="O16" s="112">
        <f t="shared" si="3"/>
        <v>15904.903402201831</v>
      </c>
      <c r="P16" s="112">
        <f t="shared" si="3"/>
        <v>17397.11665524845</v>
      </c>
      <c r="Q16" s="112">
        <f t="shared" si="3"/>
        <v>18600.514761068829</v>
      </c>
      <c r="R16" s="112">
        <f t="shared" si="3"/>
        <v>19771.79504269762</v>
      </c>
      <c r="S16" s="112">
        <f t="shared" si="3"/>
        <v>20907.442868933431</v>
      </c>
      <c r="T16" s="112">
        <f t="shared" si="3"/>
        <v>21612.584701632059</v>
      </c>
      <c r="U16" s="112">
        <f t="shared" si="3"/>
        <v>22266.716108239067</v>
      </c>
      <c r="V16" s="112">
        <f t="shared" si="3"/>
        <v>22865.624231752565</v>
      </c>
      <c r="W16" s="112">
        <f t="shared" si="3"/>
        <v>24245.475403335498</v>
      </c>
      <c r="X16" s="107"/>
    </row>
    <row r="17" spans="1:24" ht="14.5" customHeight="1" x14ac:dyDescent="0.35">
      <c r="A17" s="107"/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</row>
    <row r="18" spans="1:24" ht="14.5" customHeight="1" x14ac:dyDescent="0.35">
      <c r="A18" s="110" t="s">
        <v>293</v>
      </c>
      <c r="B18" s="109" t="s">
        <v>15</v>
      </c>
      <c r="C18" s="107"/>
      <c r="D18" s="107"/>
      <c r="E18" s="107"/>
      <c r="F18" s="107"/>
      <c r="G18" s="114">
        <f t="shared" ref="G18:W18" si="4">G14/G16</f>
        <v>1</v>
      </c>
      <c r="H18" s="114">
        <f t="shared" si="4"/>
        <v>0.23352945566472158</v>
      </c>
      <c r="I18" s="114">
        <f t="shared" si="4"/>
        <v>0.35490710431129113</v>
      </c>
      <c r="J18" s="114">
        <f t="shared" si="4"/>
        <v>0.30769100994800014</v>
      </c>
      <c r="K18" s="114">
        <f t="shared" si="4"/>
        <v>0.30186178228501021</v>
      </c>
      <c r="L18" s="114">
        <f t="shared" si="4"/>
        <v>0.33045509018632618</v>
      </c>
      <c r="M18" s="114">
        <f t="shared" si="4"/>
        <v>0.41113737087198482</v>
      </c>
      <c r="N18" s="114">
        <f t="shared" si="4"/>
        <v>0.52486942419360727</v>
      </c>
      <c r="O18" s="114">
        <f t="shared" si="4"/>
        <v>0.62668745292863415</v>
      </c>
      <c r="P18" s="114">
        <f t="shared" si="4"/>
        <v>0.70746383925922851</v>
      </c>
      <c r="Q18" s="114">
        <f t="shared" si="4"/>
        <v>0.77199171726967153</v>
      </c>
      <c r="R18" s="114">
        <f t="shared" si="4"/>
        <v>0.82839913444731783</v>
      </c>
      <c r="S18" s="114">
        <f t="shared" si="4"/>
        <v>0.87829009635013933</v>
      </c>
      <c r="T18" s="114">
        <f t="shared" si="4"/>
        <v>0.92150737198496824</v>
      </c>
      <c r="U18" s="114">
        <f t="shared" si="4"/>
        <v>0.96190662863840837</v>
      </c>
      <c r="V18" s="114">
        <f t="shared" si="4"/>
        <v>1</v>
      </c>
      <c r="W18" s="114">
        <f t="shared" si="4"/>
        <v>1</v>
      </c>
      <c r="X18" s="107"/>
    </row>
    <row r="19" spans="1:24" ht="14.5" customHeight="1" x14ac:dyDescent="0.35">
      <c r="A19" s="110" t="s">
        <v>294</v>
      </c>
      <c r="B19" s="109" t="s">
        <v>15</v>
      </c>
      <c r="C19" s="107"/>
      <c r="D19" s="107"/>
      <c r="E19" s="107"/>
      <c r="F19" s="107"/>
      <c r="G19" s="114">
        <f t="shared" ref="G19:W19" si="5">G15/G16</f>
        <v>0</v>
      </c>
      <c r="H19" s="114">
        <f t="shared" si="5"/>
        <v>0.76647054433527839</v>
      </c>
      <c r="I19" s="114">
        <f t="shared" si="5"/>
        <v>0.64509289568870887</v>
      </c>
      <c r="J19" s="114">
        <f t="shared" si="5"/>
        <v>0.69230899005199986</v>
      </c>
      <c r="K19" s="114">
        <f t="shared" si="5"/>
        <v>0.69813821771498985</v>
      </c>
      <c r="L19" s="114">
        <f t="shared" si="5"/>
        <v>0.66954490981367376</v>
      </c>
      <c r="M19" s="114">
        <f t="shared" si="5"/>
        <v>0.58886262912801524</v>
      </c>
      <c r="N19" s="114">
        <f t="shared" si="5"/>
        <v>0.47513057580639273</v>
      </c>
      <c r="O19" s="114">
        <f t="shared" si="5"/>
        <v>0.37331254707136591</v>
      </c>
      <c r="P19" s="114">
        <f t="shared" si="5"/>
        <v>0.29253616074077149</v>
      </c>
      <c r="Q19" s="114">
        <f t="shared" si="5"/>
        <v>0.22800828273032842</v>
      </c>
      <c r="R19" s="114">
        <f t="shared" si="5"/>
        <v>0.1716008655526822</v>
      </c>
      <c r="S19" s="114">
        <f t="shared" si="5"/>
        <v>0.12170990364986078</v>
      </c>
      <c r="T19" s="114">
        <f t="shared" si="5"/>
        <v>7.8492628015031748E-2</v>
      </c>
      <c r="U19" s="114">
        <f t="shared" si="5"/>
        <v>3.8093371361591646E-2</v>
      </c>
      <c r="V19" s="114">
        <f t="shared" si="5"/>
        <v>0</v>
      </c>
      <c r="W19" s="114">
        <f t="shared" si="5"/>
        <v>0</v>
      </c>
      <c r="X19" s="107"/>
    </row>
    <row r="20" spans="1:24" ht="14.5" customHeight="1" x14ac:dyDescent="0.35">
      <c r="A20" s="110" t="s">
        <v>295</v>
      </c>
      <c r="B20" s="109" t="s">
        <v>15</v>
      </c>
      <c r="C20" s="110"/>
      <c r="D20" s="115">
        <v>0.16</v>
      </c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</row>
    <row r="21" spans="1:24" ht="14.5" customHeight="1" x14ac:dyDescent="0.35">
      <c r="A21" s="110" t="s">
        <v>296</v>
      </c>
      <c r="B21" s="109" t="s">
        <v>15</v>
      </c>
      <c r="C21" s="110"/>
      <c r="D21" s="114">
        <f>Допущения!$D$67</f>
        <v>0.09</v>
      </c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</row>
    <row r="22" spans="1:24" ht="14.5" customHeight="1" x14ac:dyDescent="0.35">
      <c r="A22" s="110" t="s">
        <v>297</v>
      </c>
      <c r="B22" s="109" t="s">
        <v>15</v>
      </c>
      <c r="C22" s="110"/>
      <c r="D22" s="114">
        <f>Допущения!$G$70</f>
        <v>0.2</v>
      </c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</row>
    <row r="23" spans="1:24" ht="14.5" customHeight="1" x14ac:dyDescent="0.35">
      <c r="A23" s="110" t="s">
        <v>298</v>
      </c>
      <c r="B23" s="109" t="s">
        <v>15</v>
      </c>
      <c r="C23" s="110"/>
      <c r="D23" s="107"/>
      <c r="E23" s="107"/>
      <c r="F23" s="107"/>
      <c r="G23" s="114">
        <f t="shared" ref="G23:W23" si="6">G18*$D$20+G19*$D$21*(1-$D$22)</f>
        <v>0.16</v>
      </c>
      <c r="H23" s="114">
        <f t="shared" si="6"/>
        <v>9.2550592098495504E-2</v>
      </c>
      <c r="I23" s="114">
        <f t="shared" si="6"/>
        <v>0.10323182517939361</v>
      </c>
      <c r="J23" s="114">
        <f t="shared" si="6"/>
        <v>9.9076808875424013E-2</v>
      </c>
      <c r="K23" s="114">
        <f t="shared" si="6"/>
        <v>9.8563836841080915E-2</v>
      </c>
      <c r="L23" s="114">
        <f t="shared" si="6"/>
        <v>0.1010800479363967</v>
      </c>
      <c r="M23" s="114">
        <f t="shared" si="6"/>
        <v>0.10818008863673467</v>
      </c>
      <c r="N23" s="114">
        <f t="shared" si="6"/>
        <v>0.11818850932903743</v>
      </c>
      <c r="O23" s="114">
        <f t="shared" si="6"/>
        <v>0.12714849585771981</v>
      </c>
      <c r="P23" s="114">
        <f t="shared" si="6"/>
        <v>0.13425681785481211</v>
      </c>
      <c r="Q23" s="114">
        <f t="shared" si="6"/>
        <v>0.13993527111973109</v>
      </c>
      <c r="R23" s="114">
        <f t="shared" si="6"/>
        <v>0.14489912383136397</v>
      </c>
      <c r="S23" s="114">
        <f t="shared" si="6"/>
        <v>0.14928952847881227</v>
      </c>
      <c r="T23" s="114">
        <f t="shared" si="6"/>
        <v>0.15309264873467721</v>
      </c>
      <c r="U23" s="114">
        <f t="shared" si="6"/>
        <v>0.15664778332017995</v>
      </c>
      <c r="V23" s="114">
        <f t="shared" si="6"/>
        <v>0.16</v>
      </c>
      <c r="W23" s="114">
        <f t="shared" si="6"/>
        <v>0.16</v>
      </c>
      <c r="X23" s="107"/>
    </row>
    <row r="24" spans="1:24" ht="14.5" customHeight="1" x14ac:dyDescent="0.35">
      <c r="A24" s="110" t="s">
        <v>299</v>
      </c>
      <c r="B24" s="109" t="s">
        <v>15</v>
      </c>
      <c r="C24" s="110"/>
      <c r="D24" s="107"/>
      <c r="E24" s="107"/>
      <c r="F24" s="107"/>
      <c r="G24" s="116">
        <f t="shared" ref="G24:W24" si="7">G23/4</f>
        <v>0.04</v>
      </c>
      <c r="H24" s="116">
        <f t="shared" si="7"/>
        <v>2.3137648024623876E-2</v>
      </c>
      <c r="I24" s="116">
        <f t="shared" si="7"/>
        <v>2.5807956294848403E-2</v>
      </c>
      <c r="J24" s="116">
        <f t="shared" si="7"/>
        <v>2.4769202218856003E-2</v>
      </c>
      <c r="K24" s="116">
        <f t="shared" si="7"/>
        <v>2.4640959210270229E-2</v>
      </c>
      <c r="L24" s="116">
        <f t="shared" si="7"/>
        <v>2.5270011984099176E-2</v>
      </c>
      <c r="M24" s="116">
        <f t="shared" si="7"/>
        <v>2.7045022159183668E-2</v>
      </c>
      <c r="N24" s="116">
        <f t="shared" si="7"/>
        <v>2.9547127332259358E-2</v>
      </c>
      <c r="O24" s="116">
        <f t="shared" si="7"/>
        <v>3.1787123964429953E-2</v>
      </c>
      <c r="P24" s="116">
        <f t="shared" si="7"/>
        <v>3.3564204463703028E-2</v>
      </c>
      <c r="Q24" s="116">
        <f t="shared" si="7"/>
        <v>3.4983817779932772E-2</v>
      </c>
      <c r="R24" s="116">
        <f t="shared" si="7"/>
        <v>3.6224780957840992E-2</v>
      </c>
      <c r="S24" s="116">
        <f t="shared" si="7"/>
        <v>3.7322382119703068E-2</v>
      </c>
      <c r="T24" s="116">
        <f t="shared" si="7"/>
        <v>3.8273162183669301E-2</v>
      </c>
      <c r="U24" s="116">
        <f t="shared" si="7"/>
        <v>3.9161945830044988E-2</v>
      </c>
      <c r="V24" s="116">
        <f t="shared" si="7"/>
        <v>0.04</v>
      </c>
      <c r="W24" s="116">
        <f t="shared" si="7"/>
        <v>0.04</v>
      </c>
      <c r="X24" s="107"/>
    </row>
    <row r="25" spans="1:24" ht="14.5" customHeight="1" x14ac:dyDescent="0.35">
      <c r="A25" s="107"/>
      <c r="B25" s="107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</row>
    <row r="26" spans="1:24" ht="15.75" customHeight="1" x14ac:dyDescent="0.35">
      <c r="A26" s="106" t="s">
        <v>300</v>
      </c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7"/>
    </row>
    <row r="27" spans="1:24" ht="14.5" customHeight="1" x14ac:dyDescent="0.35">
      <c r="A27" s="110" t="s">
        <v>301</v>
      </c>
      <c r="B27" s="109" t="s">
        <v>15</v>
      </c>
      <c r="C27" s="110"/>
      <c r="D27" s="115">
        <v>1.4999999999999999E-2</v>
      </c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</row>
    <row r="28" spans="1:24" ht="14.5" customHeight="1" x14ac:dyDescent="0.35">
      <c r="A28" s="110" t="s">
        <v>302</v>
      </c>
      <c r="B28" s="109" t="s">
        <v>89</v>
      </c>
      <c r="C28" s="110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12">
        <f>SUM(H11:W11)</f>
        <v>3891.6653717287663</v>
      </c>
    </row>
    <row r="29" spans="1:24" ht="14.5" customHeight="1" x14ac:dyDescent="0.35">
      <c r="A29" s="110" t="s">
        <v>303</v>
      </c>
      <c r="B29" s="109" t="s">
        <v>89</v>
      </c>
      <c r="C29" s="110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12">
        <f>W5*(1+$D$27/4)/(W24-$D$27/4)</f>
        <v>60923.572005846232</v>
      </c>
    </row>
    <row r="30" spans="1:24" ht="14.5" customHeight="1" x14ac:dyDescent="0.35">
      <c r="A30" s="110" t="s">
        <v>304</v>
      </c>
      <c r="B30" s="109" t="s">
        <v>89</v>
      </c>
      <c r="C30" s="110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12">
        <f>X29*W10</f>
        <v>36831.812986948578</v>
      </c>
    </row>
    <row r="31" spans="1:24" ht="14.5" customHeight="1" x14ac:dyDescent="0.35">
      <c r="A31" s="108" t="s">
        <v>305</v>
      </c>
      <c r="B31" s="109" t="s">
        <v>89</v>
      </c>
      <c r="C31" s="110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11">
        <f>X28+X30</f>
        <v>40723.478358677341</v>
      </c>
    </row>
    <row r="32" spans="1:24" ht="14.5" customHeight="1" x14ac:dyDescent="0.35">
      <c r="A32" s="110" t="s">
        <v>306</v>
      </c>
      <c r="B32" s="109" t="s">
        <v>89</v>
      </c>
      <c r="C32" s="110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12">
        <f>Отчетность!G27</f>
        <v>0</v>
      </c>
    </row>
    <row r="33" spans="1:24" ht="14.5" customHeight="1" x14ac:dyDescent="0.35">
      <c r="A33" s="108" t="s">
        <v>307</v>
      </c>
      <c r="B33" s="109" t="s">
        <v>89</v>
      </c>
      <c r="C33" s="110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11">
        <f>X31-X32</f>
        <v>40723.478358677341</v>
      </c>
    </row>
    <row r="34" spans="1:24" ht="14.5" customHeight="1" x14ac:dyDescent="0.35">
      <c r="A34" s="107"/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</row>
    <row r="35" spans="1:24" ht="15.75" customHeight="1" x14ac:dyDescent="0.35">
      <c r="A35" s="106" t="s">
        <v>308</v>
      </c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7"/>
    </row>
    <row r="36" spans="1:24" ht="14.5" customHeight="1" x14ac:dyDescent="0.35">
      <c r="A36" s="110" t="s">
        <v>309</v>
      </c>
      <c r="B36" s="109" t="s">
        <v>214</v>
      </c>
      <c r="C36" s="110"/>
      <c r="D36" s="107"/>
      <c r="E36" s="107"/>
      <c r="F36" s="107"/>
      <c r="G36" s="117">
        <v>5.5</v>
      </c>
      <c r="H36" s="117">
        <v>6.1</v>
      </c>
      <c r="I36" s="117">
        <v>5.4</v>
      </c>
      <c r="J36" s="117">
        <v>5.0999999999999996</v>
      </c>
      <c r="K36" s="117">
        <v>6.2</v>
      </c>
      <c r="L36" s="117">
        <v>5.8</v>
      </c>
      <c r="M36" s="117">
        <v>6.8</v>
      </c>
      <c r="N36" s="117">
        <v>7</v>
      </c>
      <c r="O36" s="117">
        <v>5.9</v>
      </c>
      <c r="P36" s="107"/>
      <c r="Q36" s="107"/>
      <c r="R36" s="107"/>
      <c r="S36" s="107"/>
      <c r="T36" s="107"/>
      <c r="U36" s="107"/>
      <c r="V36" s="107"/>
      <c r="W36" s="107"/>
      <c r="X36" s="107"/>
    </row>
    <row r="37" spans="1:24" ht="14.5" customHeight="1" x14ac:dyDescent="0.35">
      <c r="A37" s="110" t="s">
        <v>310</v>
      </c>
      <c r="B37" s="109" t="s">
        <v>214</v>
      </c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18">
        <f>AVERAGE(G36:O36)</f>
        <v>5.9777777777777779</v>
      </c>
    </row>
    <row r="38" spans="1:24" ht="14.5" customHeight="1" x14ac:dyDescent="0.35">
      <c r="A38" s="110" t="s">
        <v>311</v>
      </c>
      <c r="B38" s="109" t="s">
        <v>214</v>
      </c>
      <c r="C38" s="110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18">
        <f>HARMEAN(G36:O36)</f>
        <v>5.9205547125388884</v>
      </c>
    </row>
    <row r="39" spans="1:24" ht="14.5" customHeight="1" x14ac:dyDescent="0.35">
      <c r="A39" s="110" t="s">
        <v>312</v>
      </c>
      <c r="B39" s="109" t="s">
        <v>89</v>
      </c>
      <c r="C39" s="110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12">
        <f>'Годовая отчетность'!I6</f>
        <v>15118.159712840006</v>
      </c>
    </row>
    <row r="40" spans="1:24" ht="14.5" customHeight="1" x14ac:dyDescent="0.35">
      <c r="A40" s="110" t="s">
        <v>313</v>
      </c>
      <c r="B40" s="109" t="s">
        <v>89</v>
      </c>
      <c r="C40" s="110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12">
        <f>X38*X39</f>
        <v>89507.891732770469</v>
      </c>
    </row>
    <row r="41" spans="1:24" ht="14.5" customHeight="1" x14ac:dyDescent="0.35">
      <c r="A41" s="110" t="s">
        <v>314</v>
      </c>
      <c r="B41" s="109" t="s">
        <v>214</v>
      </c>
      <c r="C41" s="110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13">
        <f>W10</f>
        <v>0.60455767405453831</v>
      </c>
    </row>
    <row r="42" spans="1:24" ht="14.5" customHeight="1" x14ac:dyDescent="0.35">
      <c r="A42" s="108" t="s">
        <v>315</v>
      </c>
      <c r="B42" s="109" t="s">
        <v>89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11">
        <f>X40*X41</f>
        <v>54112.682835489155</v>
      </c>
    </row>
    <row r="43" spans="1:24" ht="14.5" customHeight="1" x14ac:dyDescent="0.35">
      <c r="A43" s="108" t="s">
        <v>307</v>
      </c>
      <c r="B43" s="109" t="s">
        <v>89</v>
      </c>
      <c r="C43" s="110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11">
        <f>X42-X32</f>
        <v>54112.682835489155</v>
      </c>
    </row>
    <row r="44" spans="1:24" ht="14.5" customHeight="1" x14ac:dyDescent="0.35">
      <c r="A44" s="107"/>
      <c r="B44" s="107"/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</row>
    <row r="45" spans="1:24" ht="15.75" customHeight="1" x14ac:dyDescent="0.35">
      <c r="A45" s="106" t="s">
        <v>316</v>
      </c>
      <c r="B45" s="106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7"/>
    </row>
    <row r="46" spans="1:24" ht="14.5" customHeight="1" x14ac:dyDescent="0.35">
      <c r="A46" s="110" t="s">
        <v>317</v>
      </c>
      <c r="B46" s="109" t="s">
        <v>89</v>
      </c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12">
        <f>X31</f>
        <v>40723.478358677341</v>
      </c>
    </row>
    <row r="47" spans="1:24" ht="14.5" customHeight="1" x14ac:dyDescent="0.35">
      <c r="A47" s="110" t="s">
        <v>318</v>
      </c>
      <c r="B47" s="109" t="s">
        <v>89</v>
      </c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12">
        <f>X42</f>
        <v>54112.682835489155</v>
      </c>
    </row>
    <row r="48" spans="1:24" ht="14.5" customHeight="1" thickBot="1" x14ac:dyDescent="0.4">
      <c r="A48" s="110" t="s">
        <v>319</v>
      </c>
      <c r="B48" s="109" t="s">
        <v>15</v>
      </c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14">
        <f>X47/X46-1</f>
        <v>0.32878341969918812</v>
      </c>
    </row>
    <row r="49" spans="1:24" ht="30" customHeight="1" thickBot="1" x14ac:dyDescent="0.4">
      <c r="A49" s="121" t="s">
        <v>320</v>
      </c>
      <c r="B49" s="122"/>
      <c r="C49" s="162" t="s">
        <v>321</v>
      </c>
      <c r="D49" s="163"/>
      <c r="E49" s="163"/>
      <c r="F49" s="163"/>
      <c r="G49" s="163"/>
      <c r="H49" s="163"/>
      <c r="I49" s="163"/>
      <c r="J49" s="163"/>
      <c r="K49" s="163"/>
      <c r="L49" s="163"/>
      <c r="M49" s="163"/>
      <c r="N49" s="163"/>
      <c r="O49" s="163"/>
      <c r="P49" s="163"/>
      <c r="Q49" s="163"/>
      <c r="R49" s="163"/>
      <c r="S49" s="163"/>
      <c r="T49" s="163"/>
      <c r="U49" s="163"/>
      <c r="V49" s="163"/>
      <c r="W49" s="164"/>
      <c r="X49" s="107"/>
    </row>
    <row r="50" spans="1:24" ht="14.5" customHeight="1" x14ac:dyDescent="0.35">
      <c r="A50" s="107"/>
      <c r="B50" s="107"/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</row>
    <row r="51" spans="1:24" ht="14.5" customHeight="1" x14ac:dyDescent="0.35">
      <c r="A51" s="107"/>
      <c r="B51" s="107"/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07"/>
      <c r="U51" s="107"/>
      <c r="V51" s="107"/>
      <c r="W51" s="107"/>
      <c r="X51" s="107"/>
    </row>
    <row r="52" spans="1:24" ht="14.5" customHeight="1" x14ac:dyDescent="0.35">
      <c r="A52" s="107"/>
      <c r="B52" s="107"/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107"/>
      <c r="V52" s="107"/>
      <c r="W52" s="107"/>
      <c r="X52" s="107"/>
    </row>
    <row r="53" spans="1:24" ht="14.5" customHeight="1" x14ac:dyDescent="0.35">
      <c r="A53" s="107"/>
      <c r="B53" s="107"/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107"/>
      <c r="W53" s="107"/>
      <c r="X53" s="107"/>
    </row>
    <row r="54" spans="1:24" ht="14.5" customHeight="1" x14ac:dyDescent="0.35">
      <c r="A54" s="107"/>
      <c r="B54" s="107"/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107"/>
      <c r="V54" s="107"/>
      <c r="W54" s="107"/>
      <c r="X54" s="107"/>
    </row>
    <row r="55" spans="1:24" ht="14.5" customHeight="1" x14ac:dyDescent="0.35">
      <c r="A55" s="107"/>
      <c r="B55" s="107"/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7"/>
      <c r="W55" s="107"/>
      <c r="X55" s="107"/>
    </row>
    <row r="56" spans="1:24" ht="14.5" customHeight="1" x14ac:dyDescent="0.35">
      <c r="A56" s="107"/>
      <c r="B56" s="107"/>
      <c r="C56" s="107"/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07"/>
      <c r="U56" s="107"/>
      <c r="V56" s="107"/>
      <c r="W56" s="107"/>
      <c r="X56" s="107"/>
    </row>
    <row r="57" spans="1:24" ht="14.5" customHeight="1" x14ac:dyDescent="0.35">
      <c r="A57" s="107"/>
      <c r="B57" s="107"/>
      <c r="C57" s="107"/>
      <c r="D57" s="107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</row>
    <row r="58" spans="1:24" ht="14.5" customHeight="1" x14ac:dyDescent="0.35">
      <c r="A58" s="107"/>
      <c r="B58" s="107"/>
      <c r="C58" s="107"/>
      <c r="D58" s="107"/>
      <c r="E58" s="107"/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107"/>
      <c r="U58" s="107"/>
      <c r="V58" s="107"/>
      <c r="W58" s="107"/>
      <c r="X58" s="107"/>
    </row>
    <row r="59" spans="1:24" ht="14.5" customHeight="1" x14ac:dyDescent="0.35">
      <c r="A59" s="107"/>
      <c r="B59" s="107"/>
      <c r="C59" s="107"/>
      <c r="D59" s="107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107"/>
      <c r="T59" s="107"/>
      <c r="U59" s="107"/>
      <c r="V59" s="107"/>
      <c r="W59" s="107"/>
      <c r="X59" s="107"/>
    </row>
    <row r="60" spans="1:24" ht="14.5" customHeight="1" x14ac:dyDescent="0.35">
      <c r="A60" s="107"/>
      <c r="B60" s="107"/>
      <c r="C60" s="107"/>
      <c r="D60" s="107"/>
      <c r="E60" s="107"/>
      <c r="F60" s="107"/>
      <c r="G60" s="107"/>
      <c r="H60" s="107"/>
      <c r="I60" s="107"/>
      <c r="J60" s="107"/>
      <c r="K60" s="107"/>
      <c r="L60" s="107"/>
      <c r="M60" s="107"/>
      <c r="N60" s="107"/>
      <c r="O60" s="107"/>
      <c r="P60" s="107"/>
      <c r="Q60" s="107"/>
      <c r="R60" s="107"/>
      <c r="S60" s="107"/>
      <c r="T60" s="107"/>
      <c r="U60" s="107"/>
      <c r="V60" s="107"/>
      <c r="W60" s="107"/>
      <c r="X60" s="107"/>
    </row>
    <row r="61" spans="1:24" ht="14.5" customHeight="1" x14ac:dyDescent="0.35">
      <c r="A61" s="107"/>
      <c r="B61" s="107"/>
      <c r="C61" s="107"/>
      <c r="D61" s="107"/>
      <c r="E61" s="107"/>
      <c r="F61" s="107"/>
      <c r="G61" s="107"/>
      <c r="H61" s="107"/>
      <c r="I61" s="107"/>
      <c r="J61" s="107"/>
      <c r="K61" s="107"/>
      <c r="L61" s="107"/>
      <c r="M61" s="107"/>
      <c r="N61" s="107"/>
      <c r="O61" s="107"/>
      <c r="P61" s="107"/>
      <c r="Q61" s="107"/>
      <c r="R61" s="107"/>
      <c r="S61" s="107"/>
      <c r="T61" s="107"/>
      <c r="U61" s="107"/>
      <c r="V61" s="107"/>
      <c r="W61" s="107"/>
      <c r="X61" s="107"/>
    </row>
    <row r="62" spans="1:24" ht="14.5" customHeight="1" x14ac:dyDescent="0.35">
      <c r="A62" s="107"/>
      <c r="B62" s="107"/>
      <c r="C62" s="107"/>
      <c r="D62" s="107"/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107"/>
      <c r="P62" s="107"/>
      <c r="Q62" s="107"/>
      <c r="R62" s="107"/>
      <c r="S62" s="107"/>
      <c r="T62" s="107"/>
      <c r="U62" s="107"/>
      <c r="V62" s="107"/>
      <c r="W62" s="107"/>
      <c r="X62" s="107"/>
    </row>
    <row r="63" spans="1:24" ht="14.5" customHeight="1" x14ac:dyDescent="0.35">
      <c r="A63" s="107"/>
      <c r="B63" s="107"/>
      <c r="C63" s="107"/>
      <c r="D63" s="107"/>
      <c r="E63" s="107"/>
      <c r="F63" s="107"/>
      <c r="G63" s="107"/>
      <c r="H63" s="107"/>
      <c r="I63" s="107"/>
      <c r="J63" s="107"/>
      <c r="K63" s="107"/>
      <c r="L63" s="107"/>
      <c r="M63" s="107"/>
      <c r="N63" s="107"/>
      <c r="O63" s="107"/>
      <c r="P63" s="107"/>
      <c r="Q63" s="107"/>
      <c r="R63" s="107"/>
      <c r="S63" s="107"/>
      <c r="T63" s="107"/>
      <c r="U63" s="107"/>
      <c r="V63" s="107"/>
      <c r="W63" s="107"/>
      <c r="X63" s="107"/>
    </row>
    <row r="64" spans="1:24" ht="14.5" customHeight="1" x14ac:dyDescent="0.35">
      <c r="A64" s="107"/>
      <c r="B64" s="107"/>
      <c r="C64" s="107"/>
      <c r="D64" s="107"/>
      <c r="E64" s="107"/>
      <c r="F64" s="107"/>
      <c r="G64" s="107"/>
      <c r="H64" s="107"/>
      <c r="I64" s="107"/>
      <c r="J64" s="107"/>
      <c r="K64" s="107"/>
      <c r="L64" s="107"/>
      <c r="M64" s="107"/>
      <c r="N64" s="107"/>
      <c r="O64" s="107"/>
      <c r="P64" s="107"/>
      <c r="Q64" s="107"/>
      <c r="R64" s="107"/>
      <c r="S64" s="107"/>
      <c r="T64" s="107"/>
      <c r="U64" s="107"/>
      <c r="V64" s="107"/>
      <c r="W64" s="107"/>
      <c r="X64" s="107"/>
    </row>
    <row r="65" spans="1:24" ht="14.5" customHeight="1" x14ac:dyDescent="0.35">
      <c r="A65" s="107"/>
      <c r="B65" s="107"/>
      <c r="C65" s="107"/>
      <c r="D65" s="107"/>
      <c r="E65" s="107"/>
      <c r="F65" s="107"/>
      <c r="G65" s="107"/>
      <c r="H65" s="107"/>
      <c r="I65" s="107"/>
      <c r="J65" s="107"/>
      <c r="K65" s="107"/>
      <c r="L65" s="107"/>
      <c r="M65" s="107"/>
      <c r="N65" s="107"/>
      <c r="O65" s="107"/>
      <c r="P65" s="107"/>
      <c r="Q65" s="107"/>
      <c r="R65" s="107"/>
      <c r="S65" s="107"/>
      <c r="T65" s="107"/>
      <c r="U65" s="107"/>
      <c r="V65" s="107"/>
      <c r="W65" s="107"/>
      <c r="X65" s="107"/>
    </row>
    <row r="66" spans="1:24" ht="14.5" customHeight="1" x14ac:dyDescent="0.35">
      <c r="A66" s="107"/>
      <c r="B66" s="107"/>
      <c r="C66" s="107"/>
      <c r="D66" s="107"/>
      <c r="E66" s="107"/>
      <c r="F66" s="107"/>
      <c r="G66" s="107"/>
      <c r="H66" s="107"/>
      <c r="I66" s="107"/>
      <c r="J66" s="107"/>
      <c r="K66" s="107"/>
      <c r="L66" s="107"/>
      <c r="M66" s="107"/>
      <c r="N66" s="107"/>
      <c r="O66" s="107"/>
      <c r="P66" s="107"/>
      <c r="Q66" s="107"/>
      <c r="R66" s="107"/>
      <c r="S66" s="107"/>
      <c r="T66" s="107"/>
      <c r="U66" s="107"/>
      <c r="V66" s="107"/>
      <c r="W66" s="107"/>
      <c r="X66" s="107"/>
    </row>
    <row r="67" spans="1:24" ht="14.5" customHeight="1" x14ac:dyDescent="0.35">
      <c r="A67" s="107"/>
      <c r="B67" s="107"/>
      <c r="C67" s="107"/>
      <c r="D67" s="107"/>
      <c r="E67" s="107"/>
      <c r="F67" s="107"/>
      <c r="G67" s="107"/>
      <c r="H67" s="107"/>
      <c r="I67" s="107"/>
      <c r="J67" s="107"/>
      <c r="K67" s="107"/>
      <c r="L67" s="107"/>
      <c r="M67" s="107"/>
      <c r="N67" s="107"/>
      <c r="O67" s="107"/>
      <c r="P67" s="107"/>
      <c r="Q67" s="107"/>
      <c r="R67" s="107"/>
      <c r="S67" s="107"/>
      <c r="T67" s="107"/>
      <c r="U67" s="107"/>
      <c r="V67" s="107"/>
      <c r="W67" s="107"/>
      <c r="X67" s="107"/>
    </row>
    <row r="68" spans="1:24" ht="14.5" customHeight="1" x14ac:dyDescent="0.35">
      <c r="A68" s="107"/>
      <c r="B68" s="107"/>
      <c r="C68" s="107"/>
      <c r="D68" s="107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</row>
    <row r="69" spans="1:24" ht="14.5" customHeight="1" x14ac:dyDescent="0.35">
      <c r="A69" s="107"/>
      <c r="B69" s="107"/>
      <c r="C69" s="107"/>
      <c r="D69" s="107"/>
      <c r="E69" s="107"/>
      <c r="F69" s="107"/>
      <c r="G69" s="107"/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7"/>
      <c r="U69" s="107"/>
      <c r="V69" s="107"/>
      <c r="W69" s="107"/>
      <c r="X69" s="107"/>
    </row>
    <row r="70" spans="1:24" ht="14.5" customHeight="1" x14ac:dyDescent="0.35">
      <c r="A70" s="107"/>
      <c r="B70" s="107"/>
      <c r="C70" s="107"/>
      <c r="D70" s="107"/>
      <c r="E70" s="107"/>
      <c r="F70" s="107"/>
      <c r="G70" s="107"/>
      <c r="H70" s="107"/>
      <c r="I70" s="107"/>
      <c r="J70" s="107"/>
      <c r="K70" s="107"/>
      <c r="L70" s="107"/>
      <c r="M70" s="107"/>
      <c r="N70" s="107"/>
      <c r="O70" s="107"/>
      <c r="P70" s="107"/>
      <c r="Q70" s="107"/>
      <c r="R70" s="107"/>
      <c r="S70" s="107"/>
      <c r="T70" s="107"/>
      <c r="U70" s="107"/>
      <c r="V70" s="107"/>
      <c r="W70" s="107"/>
      <c r="X70" s="107"/>
    </row>
  </sheetData>
  <mergeCells count="9">
    <mergeCell ref="X1:X2"/>
    <mergeCell ref="C1:C2"/>
    <mergeCell ref="B1:B2"/>
    <mergeCell ref="H1:K1"/>
    <mergeCell ref="A1:A2"/>
    <mergeCell ref="L1:O1"/>
    <mergeCell ref="P1:S1"/>
    <mergeCell ref="T1:W1"/>
    <mergeCell ref="C49:W49"/>
  </mergeCells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P16"/>
  <sheetViews>
    <sheetView tabSelected="1" workbookViewId="0">
      <selection activeCell="F26" sqref="F26"/>
    </sheetView>
  </sheetViews>
  <sheetFormatPr defaultColWidth="12.6328125" defaultRowHeight="15.75" customHeight="1" x14ac:dyDescent="0.25"/>
  <cols>
    <col min="1" max="1" width="58" style="8" customWidth="1"/>
    <col min="2" max="2" width="9" style="8" customWidth="1"/>
    <col min="3" max="3" width="11" style="8" customWidth="1"/>
    <col min="4" max="16" width="9.453125" style="8" customWidth="1"/>
  </cols>
  <sheetData>
    <row r="1" spans="1:16" ht="12.5" x14ac:dyDescent="0.25">
      <c r="A1" s="166" t="s">
        <v>0</v>
      </c>
      <c r="B1" s="166" t="s">
        <v>1</v>
      </c>
      <c r="C1" s="166" t="s">
        <v>322</v>
      </c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</row>
    <row r="2" spans="1:16" ht="12.5" x14ac:dyDescent="0.25">
      <c r="A2" s="167"/>
      <c r="B2" s="167"/>
      <c r="C2" s="167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</row>
    <row r="3" spans="1:16" ht="13" x14ac:dyDescent="0.3">
      <c r="A3" s="127" t="s">
        <v>323</v>
      </c>
      <c r="B3" s="128" t="s">
        <v>35</v>
      </c>
      <c r="C3" s="129">
        <v>4000</v>
      </c>
      <c r="D3" s="130">
        <v>3000</v>
      </c>
      <c r="E3" s="130">
        <v>3200</v>
      </c>
      <c r="F3" s="130">
        <v>3400</v>
      </c>
      <c r="G3" s="130">
        <v>3600</v>
      </c>
      <c r="H3" s="130">
        <v>3800</v>
      </c>
      <c r="I3" s="131">
        <v>4000</v>
      </c>
      <c r="J3" s="130">
        <v>4200</v>
      </c>
      <c r="K3" s="130">
        <v>4400</v>
      </c>
      <c r="L3" s="130">
        <v>4600</v>
      </c>
      <c r="M3" s="130">
        <v>4800</v>
      </c>
      <c r="N3" s="130">
        <v>5000</v>
      </c>
      <c r="O3" s="126"/>
      <c r="P3" s="126"/>
    </row>
    <row r="4" spans="1:16" ht="13" x14ac:dyDescent="0.3">
      <c r="A4" s="127" t="s">
        <v>305</v>
      </c>
      <c r="B4" s="128" t="s">
        <v>89</v>
      </c>
      <c r="C4" s="132">
        <f>'Инвестиционная оценка'!$X$31</f>
        <v>40723.478358677341</v>
      </c>
      <c r="D4" s="133">
        <f t="dataTable" ref="D4:N5" dt2D="0" dtr="1" r1="C3" ca="1"/>
        <v>-28258.283397961513</v>
      </c>
      <c r="E4" s="133">
        <v>-33626.989028528122</v>
      </c>
      <c r="F4" s="133">
        <v>-7905.6389095999884</v>
      </c>
      <c r="G4" s="133">
        <v>10704.886750756788</v>
      </c>
      <c r="H4" s="133">
        <v>25724.800472251416</v>
      </c>
      <c r="I4" s="134">
        <v>40723.478358677341</v>
      </c>
      <c r="J4" s="133">
        <v>55604.923742389088</v>
      </c>
      <c r="K4" s="133">
        <v>70274.062660626441</v>
      </c>
      <c r="L4" s="133">
        <v>85117.587087869688</v>
      </c>
      <c r="M4" s="133">
        <v>99528.008887954362</v>
      </c>
      <c r="N4" s="133">
        <v>114219.27113587415</v>
      </c>
      <c r="O4" s="126"/>
      <c r="P4" s="126"/>
    </row>
    <row r="5" spans="1:16" ht="13" x14ac:dyDescent="0.3">
      <c r="A5" s="127" t="s">
        <v>324</v>
      </c>
      <c r="B5" s="128" t="s">
        <v>214</v>
      </c>
      <c r="C5" s="135">
        <f>MIN(Отчетность!$K$58:$W$58)</f>
        <v>0.98626017516738174</v>
      </c>
      <c r="D5" s="136">
        <v>-1.6417182587027057</v>
      </c>
      <c r="E5" s="136">
        <v>-0.54452512588347557</v>
      </c>
      <c r="F5" s="136">
        <v>-7.1003903909567775E-2</v>
      </c>
      <c r="G5" s="136">
        <v>0.29632880130468064</v>
      </c>
      <c r="H5" s="136">
        <v>0.64329098830940368</v>
      </c>
      <c r="I5" s="137">
        <v>0.98626017516738174</v>
      </c>
      <c r="J5" s="136">
        <v>1.216533345758356</v>
      </c>
      <c r="K5" s="136">
        <v>1.4045983533976643</v>
      </c>
      <c r="L5" s="136">
        <v>1.5877146839687142</v>
      </c>
      <c r="M5" s="136">
        <v>1.770831014539763</v>
      </c>
      <c r="N5" s="136">
        <v>1.9539473451108129</v>
      </c>
      <c r="O5" s="126"/>
      <c r="P5" s="126"/>
    </row>
    <row r="6" spans="1:16" ht="12.5" x14ac:dyDescent="0.25">
      <c r="A6" s="126"/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</row>
    <row r="7" spans="1:16" ht="13" x14ac:dyDescent="0.3">
      <c r="A7" s="127" t="s">
        <v>325</v>
      </c>
      <c r="B7" s="128" t="s">
        <v>35</v>
      </c>
      <c r="C7" s="129">
        <v>12000</v>
      </c>
      <c r="D7" s="130">
        <v>9000</v>
      </c>
      <c r="E7" s="130">
        <v>9500</v>
      </c>
      <c r="F7" s="130">
        <v>10000</v>
      </c>
      <c r="G7" s="130">
        <v>10500</v>
      </c>
      <c r="H7" s="130">
        <v>11000</v>
      </c>
      <c r="I7" s="130">
        <v>11500</v>
      </c>
      <c r="J7" s="131">
        <v>12000</v>
      </c>
      <c r="K7" s="130">
        <v>12500</v>
      </c>
      <c r="L7" s="130">
        <v>13000</v>
      </c>
      <c r="M7" s="130">
        <v>13500</v>
      </c>
      <c r="N7" s="130">
        <v>14000</v>
      </c>
      <c r="O7" s="130">
        <v>14500</v>
      </c>
      <c r="P7" s="130">
        <v>15000</v>
      </c>
    </row>
    <row r="8" spans="1:16" ht="13" x14ac:dyDescent="0.3">
      <c r="A8" s="127" t="s">
        <v>305</v>
      </c>
      <c r="B8" s="128" t="s">
        <v>89</v>
      </c>
      <c r="C8" s="132">
        <f>'Инвестиционная оценка'!$X$31</f>
        <v>40723.478358677341</v>
      </c>
      <c r="D8" s="133">
        <f t="dataTable" ref="D8:P9" dt2D="0" dtr="1" r1="C7"/>
        <v>11550.157055388325</v>
      </c>
      <c r="E8" s="133">
        <v>16168.662022710152</v>
      </c>
      <c r="F8" s="133">
        <v>21121.43484674512</v>
      </c>
      <c r="G8" s="133">
        <v>26012.519302951514</v>
      </c>
      <c r="H8" s="133">
        <v>30997.982813246184</v>
      </c>
      <c r="I8" s="133">
        <v>35793.301590806506</v>
      </c>
      <c r="J8" s="134">
        <v>40723.478358677341</v>
      </c>
      <c r="K8" s="133">
        <v>45640.517272420984</v>
      </c>
      <c r="L8" s="133">
        <v>50320.669463397397</v>
      </c>
      <c r="M8" s="133">
        <v>55198.028783515372</v>
      </c>
      <c r="N8" s="133">
        <v>60065.51427688566</v>
      </c>
      <c r="O8" s="133">
        <v>64923.924413413653</v>
      </c>
      <c r="P8" s="133">
        <v>69773.954692737389</v>
      </c>
    </row>
    <row r="9" spans="1:16" ht="13" x14ac:dyDescent="0.3">
      <c r="A9" s="127" t="s">
        <v>324</v>
      </c>
      <c r="B9" s="128" t="s">
        <v>214</v>
      </c>
      <c r="C9" s="135">
        <f>MIN(Отчетность!$K$58:$W$58)</f>
        <v>0.98626017516738174</v>
      </c>
      <c r="D9" s="136">
        <v>0.46980989480704166</v>
      </c>
      <c r="E9" s="136">
        <v>0.5565504415582232</v>
      </c>
      <c r="F9" s="136">
        <v>0.64329098830940434</v>
      </c>
      <c r="G9" s="136">
        <v>0.73003153506058516</v>
      </c>
      <c r="H9" s="136">
        <v>0.81677208181176619</v>
      </c>
      <c r="I9" s="136">
        <v>0.90209000990922761</v>
      </c>
      <c r="J9" s="137">
        <v>0.98626017516738174</v>
      </c>
      <c r="K9" s="136">
        <v>1.0704303404255362</v>
      </c>
      <c r="L9" s="136">
        <v>1.1202379156771181</v>
      </c>
      <c r="M9" s="136">
        <v>1.1683856307177369</v>
      </c>
      <c r="N9" s="136">
        <v>1.216533345758356</v>
      </c>
      <c r="O9" s="136">
        <v>1.2646810607989756</v>
      </c>
      <c r="P9" s="136">
        <v>1.3128287758395945</v>
      </c>
    </row>
    <row r="10" spans="1:16" ht="12.5" x14ac:dyDescent="0.25">
      <c r="A10" s="126"/>
      <c r="B10" s="126"/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</row>
    <row r="11" spans="1:16" ht="12.5" x14ac:dyDescent="0.25">
      <c r="A11" s="126"/>
      <c r="B11" s="126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</row>
    <row r="12" spans="1:16" ht="13" x14ac:dyDescent="0.3">
      <c r="A12" s="138" t="s">
        <v>326</v>
      </c>
      <c r="B12" s="128" t="s">
        <v>89</v>
      </c>
      <c r="C12" s="134">
        <f>N4-I4</f>
        <v>73495.79277719681</v>
      </c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</row>
    <row r="13" spans="1:16" ht="13" x14ac:dyDescent="0.3">
      <c r="A13" s="138" t="s">
        <v>327</v>
      </c>
      <c r="B13" s="128" t="s">
        <v>89</v>
      </c>
      <c r="C13" s="134">
        <f>L8-J8</f>
        <v>9597.1911047200556</v>
      </c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</row>
    <row r="14" spans="1:16" ht="13" x14ac:dyDescent="0.3">
      <c r="A14" s="138" t="s">
        <v>328</v>
      </c>
      <c r="B14" s="128" t="s">
        <v>214</v>
      </c>
      <c r="C14" s="139">
        <f>C12/C13</f>
        <v>7.6580524421411571</v>
      </c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</row>
    <row r="15" spans="1:16" ht="12.5" x14ac:dyDescent="0.25">
      <c r="A15" s="126"/>
      <c r="B15" s="126"/>
      <c r="C15" s="126"/>
      <c r="D15" s="126"/>
      <c r="E15" s="126"/>
      <c r="F15" s="126"/>
      <c r="G15" s="126"/>
      <c r="H15" s="126"/>
      <c r="I15" s="126"/>
      <c r="J15" s="126"/>
      <c r="K15" s="126"/>
      <c r="L15" s="126"/>
      <c r="M15" s="126"/>
      <c r="N15" s="126"/>
      <c r="O15" s="126"/>
      <c r="P15" s="126"/>
    </row>
    <row r="16" spans="1:16" ht="54" customHeight="1" x14ac:dyDescent="0.25">
      <c r="A16" s="140" t="s">
        <v>329</v>
      </c>
      <c r="B16" s="168" t="s">
        <v>365</v>
      </c>
      <c r="C16" s="169"/>
      <c r="D16" s="169"/>
      <c r="E16" s="169"/>
      <c r="F16" s="169"/>
      <c r="G16" s="169"/>
      <c r="H16" s="169"/>
      <c r="I16" s="169"/>
      <c r="J16" s="169"/>
      <c r="K16" s="169"/>
      <c r="L16" s="169"/>
      <c r="M16" s="169"/>
      <c r="N16" s="169"/>
      <c r="O16" s="169"/>
      <c r="P16" s="169"/>
    </row>
  </sheetData>
  <mergeCells count="4">
    <mergeCell ref="C1:C2"/>
    <mergeCell ref="B1:B2"/>
    <mergeCell ref="B16:P16"/>
    <mergeCell ref="A1:A2"/>
  </mergeCells>
  <conditionalFormatting sqref="D4:N4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5:N5">
    <cfRule type="cellIs" dxfId="4" priority="2" operator="lessThan">
      <formula>1</formula>
    </cfRule>
    <cfRule type="cellIs" dxfId="3" priority="3" operator="greaterThanOrEqual">
      <formula>1</formula>
    </cfRule>
  </conditionalFormatting>
  <conditionalFormatting sqref="D8:P8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9:P9">
    <cfRule type="cellIs" dxfId="2" priority="5" operator="lessThan">
      <formula>1</formula>
    </cfRule>
    <cfRule type="cellIs" dxfId="1" priority="6" operator="greaterThanOrEqual">
      <formula>1</formula>
    </cfRule>
  </conditionalFormatting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72"/>
  <sheetViews>
    <sheetView workbookViewId="0">
      <selection activeCell="C25" sqref="C25:D25"/>
    </sheetView>
  </sheetViews>
  <sheetFormatPr defaultColWidth="12.6328125" defaultRowHeight="15.75" customHeight="1" x14ac:dyDescent="0.25"/>
  <cols>
    <col min="1" max="1" width="44" style="8" customWidth="1"/>
    <col min="2" max="2" width="17" style="8" customWidth="1"/>
    <col min="3" max="3" width="16" style="8" customWidth="1"/>
    <col min="4" max="4" width="9" style="8" customWidth="1"/>
    <col min="5" max="6" width="2" style="8" customWidth="1"/>
    <col min="7" max="23" width="9" style="8" customWidth="1"/>
  </cols>
  <sheetData>
    <row r="1" spans="1:23" ht="13" x14ac:dyDescent="0.3">
      <c r="A1" s="166" t="s">
        <v>0</v>
      </c>
      <c r="B1" s="166" t="s">
        <v>1</v>
      </c>
      <c r="C1" s="166" t="s">
        <v>2</v>
      </c>
      <c r="D1" s="166" t="s">
        <v>3</v>
      </c>
      <c r="E1" s="126"/>
      <c r="F1" s="126"/>
      <c r="G1" s="141" t="s">
        <v>4</v>
      </c>
      <c r="H1" s="170" t="s">
        <v>5</v>
      </c>
      <c r="I1" s="171"/>
      <c r="J1" s="171"/>
      <c r="K1" s="172"/>
      <c r="L1" s="170" t="s">
        <v>6</v>
      </c>
      <c r="M1" s="171"/>
      <c r="N1" s="171"/>
      <c r="O1" s="172"/>
      <c r="P1" s="170" t="s">
        <v>7</v>
      </c>
      <c r="Q1" s="171"/>
      <c r="R1" s="171"/>
      <c r="S1" s="172"/>
      <c r="T1" s="170" t="s">
        <v>8</v>
      </c>
      <c r="U1" s="171"/>
      <c r="V1" s="171"/>
      <c r="W1" s="172"/>
    </row>
    <row r="2" spans="1:23" ht="13" x14ac:dyDescent="0.3">
      <c r="A2" s="167"/>
      <c r="B2" s="167"/>
      <c r="C2" s="167"/>
      <c r="D2" s="167"/>
      <c r="E2" s="126"/>
      <c r="F2" s="126"/>
      <c r="G2" s="142" t="s">
        <v>9</v>
      </c>
      <c r="H2" s="142" t="s">
        <v>10</v>
      </c>
      <c r="I2" s="142" t="s">
        <v>11</v>
      </c>
      <c r="J2" s="142" t="s">
        <v>12</v>
      </c>
      <c r="K2" s="142" t="s">
        <v>9</v>
      </c>
      <c r="L2" s="142" t="s">
        <v>10</v>
      </c>
      <c r="M2" s="142" t="s">
        <v>11</v>
      </c>
      <c r="N2" s="142" t="s">
        <v>12</v>
      </c>
      <c r="O2" s="142" t="s">
        <v>9</v>
      </c>
      <c r="P2" s="142" t="s">
        <v>10</v>
      </c>
      <c r="Q2" s="142" t="s">
        <v>11</v>
      </c>
      <c r="R2" s="142" t="s">
        <v>12</v>
      </c>
      <c r="S2" s="142" t="s">
        <v>9</v>
      </c>
      <c r="T2" s="142" t="s">
        <v>10</v>
      </c>
      <c r="U2" s="142" t="s">
        <v>11</v>
      </c>
      <c r="V2" s="142" t="s">
        <v>12</v>
      </c>
      <c r="W2" s="142" t="s">
        <v>9</v>
      </c>
    </row>
    <row r="3" spans="1:23" ht="12.5" x14ac:dyDescent="0.25">
      <c r="A3" s="126"/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</row>
    <row r="4" spans="1:23" ht="13" x14ac:dyDescent="0.3">
      <c r="A4" s="127" t="s">
        <v>330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</row>
    <row r="5" spans="1:23" ht="12.5" x14ac:dyDescent="0.25">
      <c r="A5" s="126" t="s">
        <v>331</v>
      </c>
      <c r="B5" s="128" t="s">
        <v>104</v>
      </c>
      <c r="C5" s="126"/>
      <c r="D5" s="126"/>
      <c r="E5" s="126"/>
      <c r="F5" s="126"/>
      <c r="G5" s="126"/>
      <c r="H5" s="143">
        <v>2.5000000000000001E-2</v>
      </c>
      <c r="I5" s="144">
        <f t="shared" ref="I5:W5" si="0">H5</f>
        <v>2.5000000000000001E-2</v>
      </c>
      <c r="J5" s="144">
        <f t="shared" si="0"/>
        <v>2.5000000000000001E-2</v>
      </c>
      <c r="K5" s="144">
        <f t="shared" si="0"/>
        <v>2.5000000000000001E-2</v>
      </c>
      <c r="L5" s="144">
        <f t="shared" si="0"/>
        <v>2.5000000000000001E-2</v>
      </c>
      <c r="M5" s="144">
        <f t="shared" si="0"/>
        <v>2.5000000000000001E-2</v>
      </c>
      <c r="N5" s="144">
        <f t="shared" si="0"/>
        <v>2.5000000000000001E-2</v>
      </c>
      <c r="O5" s="144">
        <f t="shared" si="0"/>
        <v>2.5000000000000001E-2</v>
      </c>
      <c r="P5" s="144">
        <f t="shared" si="0"/>
        <v>2.5000000000000001E-2</v>
      </c>
      <c r="Q5" s="144">
        <f t="shared" si="0"/>
        <v>2.5000000000000001E-2</v>
      </c>
      <c r="R5" s="144">
        <f t="shared" si="0"/>
        <v>2.5000000000000001E-2</v>
      </c>
      <c r="S5" s="144">
        <f t="shared" si="0"/>
        <v>2.5000000000000001E-2</v>
      </c>
      <c r="T5" s="144">
        <f t="shared" si="0"/>
        <v>2.5000000000000001E-2</v>
      </c>
      <c r="U5" s="144">
        <f t="shared" si="0"/>
        <v>2.5000000000000001E-2</v>
      </c>
      <c r="V5" s="144">
        <f t="shared" si="0"/>
        <v>2.5000000000000001E-2</v>
      </c>
      <c r="W5" s="144">
        <f t="shared" si="0"/>
        <v>2.5000000000000001E-2</v>
      </c>
    </row>
    <row r="6" spans="1:23" ht="12.5" x14ac:dyDescent="0.25">
      <c r="A6" s="126" t="s">
        <v>332</v>
      </c>
      <c r="B6" s="128" t="s">
        <v>104</v>
      </c>
      <c r="C6" s="126"/>
      <c r="D6" s="126"/>
      <c r="E6" s="126"/>
      <c r="F6" s="126"/>
      <c r="G6" s="126"/>
      <c r="H6" s="143">
        <v>0.05</v>
      </c>
      <c r="I6" s="144">
        <f t="shared" ref="I6:W6" si="1">H6</f>
        <v>0.05</v>
      </c>
      <c r="J6" s="144">
        <f t="shared" si="1"/>
        <v>0.05</v>
      </c>
      <c r="K6" s="144">
        <f t="shared" si="1"/>
        <v>0.05</v>
      </c>
      <c r="L6" s="144">
        <f t="shared" si="1"/>
        <v>0.05</v>
      </c>
      <c r="M6" s="144">
        <f t="shared" si="1"/>
        <v>0.05</v>
      </c>
      <c r="N6" s="144">
        <f t="shared" si="1"/>
        <v>0.05</v>
      </c>
      <c r="O6" s="144">
        <f t="shared" si="1"/>
        <v>0.05</v>
      </c>
      <c r="P6" s="144">
        <f t="shared" si="1"/>
        <v>0.05</v>
      </c>
      <c r="Q6" s="144">
        <f t="shared" si="1"/>
        <v>0.05</v>
      </c>
      <c r="R6" s="144">
        <f t="shared" si="1"/>
        <v>0.05</v>
      </c>
      <c r="S6" s="144">
        <f t="shared" si="1"/>
        <v>0.05</v>
      </c>
      <c r="T6" s="144">
        <f t="shared" si="1"/>
        <v>0.05</v>
      </c>
      <c r="U6" s="144">
        <f t="shared" si="1"/>
        <v>0.05</v>
      </c>
      <c r="V6" s="144">
        <f t="shared" si="1"/>
        <v>0.05</v>
      </c>
      <c r="W6" s="144">
        <f t="shared" si="1"/>
        <v>0.05</v>
      </c>
    </row>
    <row r="7" spans="1:23" ht="13" x14ac:dyDescent="0.3">
      <c r="A7" s="145" t="s">
        <v>333</v>
      </c>
      <c r="B7" s="146" t="s">
        <v>104</v>
      </c>
      <c r="C7" s="145"/>
      <c r="D7" s="145"/>
      <c r="E7" s="145"/>
      <c r="F7" s="145"/>
      <c r="G7" s="145"/>
      <c r="H7" s="147">
        <f t="shared" ref="H7:W7" si="2">CHOOSE($B$25,H5,H6)</f>
        <v>2.5000000000000001E-2</v>
      </c>
      <c r="I7" s="147">
        <f t="shared" si="2"/>
        <v>2.5000000000000001E-2</v>
      </c>
      <c r="J7" s="147">
        <f t="shared" si="2"/>
        <v>2.5000000000000001E-2</v>
      </c>
      <c r="K7" s="147">
        <f t="shared" si="2"/>
        <v>2.5000000000000001E-2</v>
      </c>
      <c r="L7" s="147">
        <f t="shared" si="2"/>
        <v>2.5000000000000001E-2</v>
      </c>
      <c r="M7" s="147">
        <f t="shared" si="2"/>
        <v>2.5000000000000001E-2</v>
      </c>
      <c r="N7" s="147">
        <f t="shared" si="2"/>
        <v>2.5000000000000001E-2</v>
      </c>
      <c r="O7" s="147">
        <f t="shared" si="2"/>
        <v>2.5000000000000001E-2</v>
      </c>
      <c r="P7" s="147">
        <f t="shared" si="2"/>
        <v>2.5000000000000001E-2</v>
      </c>
      <c r="Q7" s="147">
        <f t="shared" si="2"/>
        <v>2.5000000000000001E-2</v>
      </c>
      <c r="R7" s="147">
        <f t="shared" si="2"/>
        <v>2.5000000000000001E-2</v>
      </c>
      <c r="S7" s="147">
        <f t="shared" si="2"/>
        <v>2.5000000000000001E-2</v>
      </c>
      <c r="T7" s="147">
        <f t="shared" si="2"/>
        <v>2.5000000000000001E-2</v>
      </c>
      <c r="U7" s="147">
        <f t="shared" si="2"/>
        <v>2.5000000000000001E-2</v>
      </c>
      <c r="V7" s="147">
        <f t="shared" si="2"/>
        <v>2.5000000000000001E-2</v>
      </c>
      <c r="W7" s="147">
        <f t="shared" si="2"/>
        <v>2.5000000000000001E-2</v>
      </c>
    </row>
    <row r="8" spans="1:23" ht="12.5" x14ac:dyDescent="0.25">
      <c r="A8" s="126"/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</row>
    <row r="9" spans="1:23" ht="13" x14ac:dyDescent="0.3">
      <c r="A9" s="127" t="s">
        <v>334</v>
      </c>
      <c r="B9" s="126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</row>
    <row r="10" spans="1:23" ht="12.5" x14ac:dyDescent="0.25">
      <c r="A10" s="126" t="s">
        <v>331</v>
      </c>
      <c r="B10" s="128" t="s">
        <v>335</v>
      </c>
      <c r="C10" s="126"/>
      <c r="D10" s="148">
        <v>3000</v>
      </c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</row>
    <row r="11" spans="1:23" ht="12.5" x14ac:dyDescent="0.25">
      <c r="A11" s="126" t="s">
        <v>332</v>
      </c>
      <c r="B11" s="128" t="s">
        <v>335</v>
      </c>
      <c r="C11" s="126"/>
      <c r="D11" s="148">
        <v>2000</v>
      </c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</row>
    <row r="12" spans="1:23" ht="13" x14ac:dyDescent="0.3">
      <c r="A12" s="145" t="s">
        <v>333</v>
      </c>
      <c r="B12" s="146" t="s">
        <v>335</v>
      </c>
      <c r="C12" s="145"/>
      <c r="D12" s="149">
        <f>CHOOSE($B$25,D10,D11)</f>
        <v>3000</v>
      </c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145"/>
      <c r="Q12" s="145"/>
      <c r="R12" s="145"/>
      <c r="S12" s="145"/>
      <c r="T12" s="145"/>
      <c r="U12" s="145"/>
      <c r="V12" s="145"/>
      <c r="W12" s="145"/>
    </row>
    <row r="13" spans="1:23" ht="12.5" x14ac:dyDescent="0.25">
      <c r="A13" s="126"/>
      <c r="B13" s="126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</row>
    <row r="14" spans="1:23" ht="13" x14ac:dyDescent="0.3">
      <c r="A14" s="127" t="s">
        <v>336</v>
      </c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</row>
    <row r="15" spans="1:23" ht="12.5" x14ac:dyDescent="0.25">
      <c r="A15" s="126" t="s">
        <v>331</v>
      </c>
      <c r="B15" s="128" t="s">
        <v>335</v>
      </c>
      <c r="C15" s="126"/>
      <c r="D15" s="148">
        <v>400</v>
      </c>
      <c r="E15" s="126"/>
      <c r="F15" s="126"/>
      <c r="G15" s="126"/>
      <c r="H15" s="126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</row>
    <row r="16" spans="1:23" ht="12.5" x14ac:dyDescent="0.25">
      <c r="A16" s="126" t="s">
        <v>332</v>
      </c>
      <c r="B16" s="128" t="s">
        <v>335</v>
      </c>
      <c r="C16" s="126"/>
      <c r="D16" s="148">
        <v>350</v>
      </c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</row>
    <row r="17" spans="1:23" ht="13" x14ac:dyDescent="0.3">
      <c r="A17" s="145" t="s">
        <v>333</v>
      </c>
      <c r="B17" s="146" t="s">
        <v>335</v>
      </c>
      <c r="C17" s="145"/>
      <c r="D17" s="149">
        <f>CHOOSE($B$25,D15,D16)</f>
        <v>400</v>
      </c>
      <c r="E17" s="145"/>
      <c r="F17" s="145"/>
      <c r="G17" s="145"/>
      <c r="H17" s="145"/>
      <c r="I17" s="145"/>
      <c r="J17" s="145"/>
      <c r="K17" s="145"/>
      <c r="L17" s="145"/>
      <c r="M17" s="145"/>
      <c r="N17" s="145"/>
      <c r="O17" s="145"/>
      <c r="P17" s="145"/>
      <c r="Q17" s="145"/>
      <c r="R17" s="145"/>
      <c r="S17" s="145"/>
      <c r="T17" s="145"/>
      <c r="U17" s="145"/>
      <c r="V17" s="145"/>
      <c r="W17" s="145"/>
    </row>
    <row r="18" spans="1:23" ht="12.5" x14ac:dyDescent="0.25">
      <c r="A18" s="126"/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</row>
    <row r="19" spans="1:23" ht="13" x14ac:dyDescent="0.3">
      <c r="A19" s="127" t="s">
        <v>337</v>
      </c>
      <c r="B19" s="126"/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</row>
    <row r="20" spans="1:23" ht="12.5" x14ac:dyDescent="0.25">
      <c r="A20" s="126" t="s">
        <v>331</v>
      </c>
      <c r="B20" s="128" t="s">
        <v>104</v>
      </c>
      <c r="C20" s="126"/>
      <c r="D20" s="150">
        <v>0.09</v>
      </c>
      <c r="E20" s="126"/>
      <c r="F20" s="126"/>
      <c r="G20" s="126"/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</row>
    <row r="21" spans="1:23" ht="12.5" x14ac:dyDescent="0.25">
      <c r="A21" s="126" t="s">
        <v>332</v>
      </c>
      <c r="B21" s="128" t="s">
        <v>104</v>
      </c>
      <c r="C21" s="126"/>
      <c r="D21" s="150">
        <v>9.5000000000000001E-2</v>
      </c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</row>
    <row r="22" spans="1:23" ht="13" x14ac:dyDescent="0.3">
      <c r="A22" s="145" t="s">
        <v>333</v>
      </c>
      <c r="B22" s="146" t="s">
        <v>104</v>
      </c>
      <c r="C22" s="145"/>
      <c r="D22" s="147">
        <f>CHOOSE($B$25,D20,D21)</f>
        <v>0.09</v>
      </c>
      <c r="E22" s="145"/>
      <c r="F22" s="145"/>
      <c r="G22" s="145"/>
      <c r="H22" s="145"/>
      <c r="I22" s="145"/>
      <c r="J22" s="145"/>
      <c r="K22" s="145"/>
      <c r="L22" s="145"/>
      <c r="M22" s="145"/>
      <c r="N22" s="145"/>
      <c r="O22" s="145"/>
      <c r="P22" s="145"/>
      <c r="Q22" s="145"/>
      <c r="R22" s="145"/>
      <c r="S22" s="145"/>
      <c r="T22" s="145"/>
      <c r="U22" s="145"/>
      <c r="V22" s="145"/>
      <c r="W22" s="145"/>
    </row>
    <row r="23" spans="1:23" ht="12.5" x14ac:dyDescent="0.25">
      <c r="A23" s="126"/>
      <c r="B23" s="126"/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</row>
    <row r="24" spans="1:23" ht="12.5" x14ac:dyDescent="0.25">
      <c r="A24" s="126"/>
      <c r="B24" s="151" t="s">
        <v>338</v>
      </c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</row>
    <row r="25" spans="1:23" ht="21" customHeight="1" x14ac:dyDescent="0.4">
      <c r="A25" s="152" t="s">
        <v>339</v>
      </c>
      <c r="B25" s="153">
        <f>MATCH(C25,$C$71:$C$72,0)</f>
        <v>1</v>
      </c>
      <c r="C25" s="173" t="s">
        <v>340</v>
      </c>
      <c r="D25" s="174"/>
      <c r="E25" s="126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</row>
    <row r="26" spans="1:23" ht="13" x14ac:dyDescent="0.3">
      <c r="A26" s="126"/>
      <c r="B26" s="126"/>
      <c r="C26" s="126"/>
      <c r="D26" s="126"/>
      <c r="E26" s="126"/>
      <c r="F26" s="126"/>
      <c r="G26" s="126"/>
      <c r="H26" s="154" t="s">
        <v>341</v>
      </c>
      <c r="I26" s="154" t="s">
        <v>342</v>
      </c>
      <c r="J26" s="154" t="s">
        <v>343</v>
      </c>
      <c r="K26" s="154" t="s">
        <v>344</v>
      </c>
      <c r="L26" s="154" t="s">
        <v>345</v>
      </c>
      <c r="M26" s="154" t="s">
        <v>346</v>
      </c>
      <c r="N26" s="154" t="s">
        <v>347</v>
      </c>
      <c r="O26" s="154" t="s">
        <v>348</v>
      </c>
      <c r="P26" s="154" t="s">
        <v>349</v>
      </c>
      <c r="Q26" s="154" t="s">
        <v>350</v>
      </c>
      <c r="R26" s="154" t="s">
        <v>351</v>
      </c>
      <c r="S26" s="154" t="s">
        <v>352</v>
      </c>
      <c r="T26" s="154" t="s">
        <v>353</v>
      </c>
      <c r="U26" s="154" t="s">
        <v>354</v>
      </c>
      <c r="V26" s="154" t="s">
        <v>355</v>
      </c>
      <c r="W26" s="154" t="s">
        <v>356</v>
      </c>
    </row>
    <row r="27" spans="1:23" ht="13" x14ac:dyDescent="0.3">
      <c r="A27" s="155" t="s">
        <v>181</v>
      </c>
      <c r="B27" s="128" t="s">
        <v>89</v>
      </c>
      <c r="C27" s="126"/>
      <c r="D27" s="126"/>
      <c r="E27" s="126"/>
      <c r="F27" s="126"/>
      <c r="G27" s="126"/>
      <c r="H27" s="132">
        <f>Отчетность!H9</f>
        <v>-2248.3125</v>
      </c>
      <c r="I27" s="132">
        <f>Отчетность!I9</f>
        <v>-1252.2377585229492</v>
      </c>
      <c r="J27" s="132">
        <f>Отчетность!J9</f>
        <v>-210.45200370694783</v>
      </c>
      <c r="K27" s="132">
        <f>Отчетность!K9</f>
        <v>878.4012244221999</v>
      </c>
      <c r="L27" s="132">
        <f>Отчетность!L9</f>
        <v>1575.2572963897683</v>
      </c>
      <c r="M27" s="132">
        <f>Отчетность!M9</f>
        <v>2718.066633122548</v>
      </c>
      <c r="N27" s="132">
        <f>Отчетность!N9</f>
        <v>3898.5137668573461</v>
      </c>
      <c r="O27" s="132">
        <f>Отчетность!O9</f>
        <v>4284.9906917836997</v>
      </c>
      <c r="P27" s="132">
        <f>Отчетность!P9</f>
        <v>4190.2559892869776</v>
      </c>
      <c r="Q27" s="132">
        <f>Отчетность!Q9</f>
        <v>4208.4980945557454</v>
      </c>
      <c r="R27" s="132">
        <f>Отчетность!R9</f>
        <v>4226.2167972517082</v>
      </c>
      <c r="S27" s="132">
        <f>Отчетность!S9</f>
        <v>4243.3897511641208</v>
      </c>
      <c r="T27" s="132">
        <f>Отчетность!T9</f>
        <v>3771.0106996253944</v>
      </c>
      <c r="U27" s="132">
        <f>Отчетность!U9</f>
        <v>3777.2430204841921</v>
      </c>
      <c r="V27" s="132">
        <f>Отчетность!V9</f>
        <v>3782.6632788357201</v>
      </c>
      <c r="W27" s="132">
        <f>Отчетность!W9</f>
        <v>3787.2427138947087</v>
      </c>
    </row>
    <row r="28" spans="1:23" ht="13" x14ac:dyDescent="0.3">
      <c r="A28" s="155" t="s">
        <v>357</v>
      </c>
      <c r="B28" s="128" t="s">
        <v>89</v>
      </c>
      <c r="C28" s="126"/>
      <c r="D28" s="126"/>
      <c r="E28" s="126"/>
      <c r="F28" s="126"/>
      <c r="G28" s="126"/>
      <c r="H28" s="132">
        <f>Отчетность!H50</f>
        <v>260.63124999999854</v>
      </c>
      <c r="I28" s="132">
        <f>Отчетность!I50</f>
        <v>2409.3333043557395</v>
      </c>
      <c r="J28" s="132">
        <f>Отчетность!J50</f>
        <v>2891.8780988012118</v>
      </c>
      <c r="K28" s="132">
        <f>Отчетность!K50</f>
        <v>1931.2588187196325</v>
      </c>
      <c r="L28" s="132">
        <f>Отчетность!L50</f>
        <v>1633.7805056431084</v>
      </c>
      <c r="M28" s="132">
        <f>Отчетность!M50</f>
        <v>2351.1782689816077</v>
      </c>
      <c r="N28" s="132">
        <f>Отчетность!N50</f>
        <v>4115.8338653296769</v>
      </c>
      <c r="O28" s="132">
        <f>Отчетность!O50</f>
        <v>6295.7784580230491</v>
      </c>
      <c r="P28" s="132">
        <f>Отчетность!P50</f>
        <v>8370.4096439993064</v>
      </c>
      <c r="Q28" s="132">
        <f>Отчетность!Q50</f>
        <v>10185.021718279244</v>
      </c>
      <c r="R28" s="132">
        <f>Отчетность!R50</f>
        <v>11998.263115503894</v>
      </c>
      <c r="S28" s="132">
        <f>Отчетность!S50</f>
        <v>13808.158051031856</v>
      </c>
      <c r="T28" s="132">
        <f>Отчетность!T50</f>
        <v>15221.448784729871</v>
      </c>
      <c r="U28" s="132">
        <f>Отчетность!U50</f>
        <v>16619.327481084874</v>
      </c>
      <c r="V28" s="132">
        <f>Отчетность!V50</f>
        <v>17999.362719124125</v>
      </c>
      <c r="W28" s="132">
        <f>Отчетность!W50</f>
        <v>20199.591346981586</v>
      </c>
    </row>
    <row r="29" spans="1:23" ht="12.5" x14ac:dyDescent="0.25">
      <c r="A29" s="126"/>
      <c r="B29" s="126"/>
      <c r="C29" s="126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</row>
    <row r="30" spans="1:23" ht="13" x14ac:dyDescent="0.3">
      <c r="A30" s="127" t="s">
        <v>358</v>
      </c>
      <c r="B30" s="126"/>
      <c r="C30" s="126"/>
      <c r="D30" s="126"/>
      <c r="E30" s="126"/>
      <c r="F30" s="126"/>
      <c r="G30" s="126"/>
      <c r="H30" s="126"/>
      <c r="I30" s="126"/>
      <c r="J30" s="126"/>
      <c r="K30" s="126"/>
      <c r="L30" s="126"/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26"/>
    </row>
    <row r="31" spans="1:23" ht="13" x14ac:dyDescent="0.3">
      <c r="A31" s="155" t="s">
        <v>213</v>
      </c>
      <c r="B31" s="128" t="s">
        <v>214</v>
      </c>
      <c r="C31" s="126"/>
      <c r="D31" s="126"/>
      <c r="E31" s="126"/>
      <c r="F31" s="126"/>
      <c r="G31" s="126"/>
      <c r="H31" s="135">
        <f>Отчетность!H54</f>
        <v>0.95</v>
      </c>
      <c r="I31" s="135">
        <f>Отчетность!I54</f>
        <v>0.91256157635467972</v>
      </c>
      <c r="J31" s="135">
        <f>Отчетность!J54</f>
        <v>0.87400971121901339</v>
      </c>
      <c r="K31" s="135">
        <f>Отчетность!K54</f>
        <v>0.8340760645444506</v>
      </c>
      <c r="L31" s="135">
        <f>Отчетность!L54</f>
        <v>0.79241891434438083</v>
      </c>
      <c r="M31" s="135">
        <f>Отчетность!M54</f>
        <v>0.74859657295261461</v>
      </c>
      <c r="N31" s="135">
        <f>Отчетность!N54</f>
        <v>0.70202832475298382</v>
      </c>
      <c r="O31" s="135">
        <f>Отчетность!O54</f>
        <v>0.65193547034916366</v>
      </c>
      <c r="P31" s="135">
        <f>Отчетность!P54</f>
        <v>0.59724955944932256</v>
      </c>
      <c r="Q31" s="135">
        <f>Отчетность!Q54</f>
        <v>0.53646432833828817</v>
      </c>
      <c r="R31" s="135">
        <f>Отчетность!R54</f>
        <v>0.4673864605342482</v>
      </c>
      <c r="S31" s="135">
        <f>Отчетность!S54</f>
        <v>0.38669414006595543</v>
      </c>
      <c r="T31" s="135">
        <f>Отчетность!T54</f>
        <v>0.28910495981793904</v>
      </c>
      <c r="U31" s="135">
        <f>Отчетность!U54</f>
        <v>0.16568010447747739</v>
      </c>
      <c r="V31" s="135">
        <f>Отчетность!V54</f>
        <v>0</v>
      </c>
      <c r="W31" s="135">
        <f>Отчетность!W54</f>
        <v>0</v>
      </c>
    </row>
    <row r="32" spans="1:23" ht="13" x14ac:dyDescent="0.3">
      <c r="A32" s="155" t="s">
        <v>216</v>
      </c>
      <c r="B32" s="128" t="s">
        <v>214</v>
      </c>
      <c r="C32" s="126"/>
      <c r="D32" s="126"/>
      <c r="E32" s="126"/>
      <c r="F32" s="126"/>
      <c r="G32" s="126"/>
      <c r="H32" s="156"/>
      <c r="I32" s="156"/>
      <c r="J32" s="156"/>
      <c r="K32" s="156">
        <f>Отчетность!K55</f>
        <v>-3.2939185640058963</v>
      </c>
      <c r="L32" s="156">
        <f>Отчетность!L55</f>
        <v>8.5594452738142213</v>
      </c>
      <c r="M32" s="156">
        <f>Отчетность!M55</f>
        <v>1.5387035424724418</v>
      </c>
      <c r="N32" s="156">
        <f>Отчетность!N55</f>
        <v>0.74812960771730908</v>
      </c>
      <c r="O32" s="156">
        <f>Отчетность!O55</f>
        <v>0.47588215652926691</v>
      </c>
      <c r="P32" s="156">
        <f>Отчетность!P55</f>
        <v>0.33722131104164749</v>
      </c>
      <c r="Q32" s="156">
        <f>Отчетность!Q55</f>
        <v>0.25575957688187034</v>
      </c>
      <c r="R32" s="156">
        <f>Отчетность!R55</f>
        <v>0.20064251052462131</v>
      </c>
      <c r="S32" s="156">
        <f>Отчетность!S55</f>
        <v>0.15085300300472335</v>
      </c>
      <c r="T32" s="156">
        <f>Отчетность!T55</f>
        <v>0.1031319032115645</v>
      </c>
      <c r="U32" s="156">
        <f>Отчетность!U55</f>
        <v>5.2954281751414665E-2</v>
      </c>
      <c r="V32" s="156">
        <f>Отчетность!V55</f>
        <v>0</v>
      </c>
      <c r="W32" s="156">
        <f>Отчетность!W55</f>
        <v>0</v>
      </c>
    </row>
    <row r="33" spans="1:23" ht="13" x14ac:dyDescent="0.3">
      <c r="A33" s="155" t="s">
        <v>218</v>
      </c>
      <c r="B33" s="128" t="s">
        <v>214</v>
      </c>
      <c r="C33" s="126"/>
      <c r="D33" s="126"/>
      <c r="E33" s="126"/>
      <c r="F33" s="126"/>
      <c r="G33" s="126"/>
      <c r="H33" s="156"/>
      <c r="I33" s="156"/>
      <c r="J33" s="156"/>
      <c r="K33" s="156">
        <f>Отчетность!K56</f>
        <v>-2.6121215890904534</v>
      </c>
      <c r="L33" s="156">
        <f>Отчетность!L56</f>
        <v>6.9107752309959141</v>
      </c>
      <c r="M33" s="156">
        <f>Отчетность!M56</f>
        <v>1.0647973095786207</v>
      </c>
      <c r="N33" s="156">
        <f>Отчетность!N56</f>
        <v>0.29435612928171001</v>
      </c>
      <c r="O33" s="156">
        <f>Отчетность!O56</f>
        <v>-2.8715507409177176E-2</v>
      </c>
      <c r="P33" s="156">
        <f>Отчетность!P56</f>
        <v>-0.21741064962461704</v>
      </c>
      <c r="Q33" s="156">
        <f>Отчетность!Q56</f>
        <v>-0.35845239503891507</v>
      </c>
      <c r="R33" s="156">
        <f>Отчетность!R56</f>
        <v>-0.50889565511780654</v>
      </c>
      <c r="S33" s="156">
        <f>Отчетность!S56</f>
        <v>-0.66773028152771319</v>
      </c>
      <c r="T33" s="156">
        <f>Отчетность!T56</f>
        <v>-0.82223389717966355</v>
      </c>
      <c r="U33" s="156">
        <f>Отчетность!U56</f>
        <v>-0.98459550345562208</v>
      </c>
      <c r="V33" s="156">
        <f>Отчетность!V56</f>
        <v>-1.1557087585293426</v>
      </c>
      <c r="W33" s="156">
        <f>Отчетность!W56</f>
        <v>-1.3361144299742946</v>
      </c>
    </row>
    <row r="34" spans="1:23" ht="13" x14ac:dyDescent="0.3">
      <c r="A34" s="155" t="s">
        <v>359</v>
      </c>
      <c r="B34" s="128" t="s">
        <v>214</v>
      </c>
      <c r="C34" s="126"/>
      <c r="D34" s="126"/>
      <c r="E34" s="126"/>
      <c r="F34" s="126"/>
      <c r="G34" s="126"/>
      <c r="H34" s="156"/>
      <c r="I34" s="156"/>
      <c r="J34" s="156"/>
      <c r="K34" s="156">
        <f>Отчетность!K57</f>
        <v>-7.2019762970090415</v>
      </c>
      <c r="L34" s="156">
        <f>Отчетность!L57</f>
        <v>-3.819292550735621</v>
      </c>
      <c r="M34" s="156">
        <f>Отчетность!M57</f>
        <v>0.29422945587971988</v>
      </c>
      <c r="N34" s="156">
        <f>Отчетность!N57</f>
        <v>5.3973910058910963</v>
      </c>
      <c r="O34" s="156">
        <f>Отчетность!O57</f>
        <v>10.595132682806067</v>
      </c>
      <c r="P34" s="156">
        <f>Отчетность!P57</f>
        <v>15.775874964471518</v>
      </c>
      <c r="Q34" s="156">
        <f>Отчетность!Q57</f>
        <v>20.308060684627893</v>
      </c>
      <c r="R34" s="156">
        <f>Отчетность!R57</f>
        <v>23.782678267836015</v>
      </c>
      <c r="S34" s="156">
        <f>Отчетность!S57</f>
        <v>27.642078941274303</v>
      </c>
      <c r="T34" s="156">
        <f>Отчетность!T57</f>
        <v>32.145190833149279</v>
      </c>
      <c r="U34" s="156">
        <f>Отчетность!U57</f>
        <v>39.528974214574397</v>
      </c>
      <c r="V34" s="156">
        <f>Отчетность!V57</f>
        <v>54.107373477642803</v>
      </c>
      <c r="W34" s="156">
        <f>Отчетность!W57</f>
        <v>86.621786075767588</v>
      </c>
    </row>
    <row r="35" spans="1:23" ht="13" x14ac:dyDescent="0.3">
      <c r="A35" s="155" t="s">
        <v>360</v>
      </c>
      <c r="B35" s="128" t="s">
        <v>214</v>
      </c>
      <c r="C35" s="126"/>
      <c r="D35" s="126"/>
      <c r="E35" s="126"/>
      <c r="F35" s="126"/>
      <c r="G35" s="126"/>
      <c r="H35" s="135"/>
      <c r="I35" s="135"/>
      <c r="J35" s="135"/>
      <c r="K35" s="135">
        <f>Отчетность!K58</f>
        <v>1.0239424855958796</v>
      </c>
      <c r="L35" s="135">
        <f>Отчетность!L58</f>
        <v>1.3186753349192466</v>
      </c>
      <c r="M35" s="135">
        <f>Отчетность!M58</f>
        <v>0.98626017516738174</v>
      </c>
      <c r="N35" s="135">
        <f>Отчетность!N58</f>
        <v>1.2944855979617358</v>
      </c>
      <c r="O35" s="135">
        <f>Отчетность!O58</f>
        <v>2.0697586160454815</v>
      </c>
      <c r="P35" s="135">
        <f>Отчетность!P58</f>
        <v>2.6826549141300049</v>
      </c>
      <c r="Q35" s="135">
        <f>Отчетность!Q58</f>
        <v>2.9947492697995579</v>
      </c>
      <c r="R35" s="135">
        <f>Отчетность!R58</f>
        <v>3.0469095201008871</v>
      </c>
      <c r="S35" s="135">
        <f>Отчетность!S58</f>
        <v>2.9902696970242144</v>
      </c>
      <c r="T35" s="135">
        <f>Отчетность!T58</f>
        <v>2.8525262765857642</v>
      </c>
      <c r="U35" s="135">
        <f>Отчетность!U58</f>
        <v>2.7765123762707526</v>
      </c>
      <c r="V35" s="135">
        <f>Отчетность!V58</f>
        <v>2.692579087397295</v>
      </c>
      <c r="W35" s="135">
        <f>Отчетность!W58</f>
        <v>3.4297181667710208</v>
      </c>
    </row>
    <row r="36" spans="1:23" ht="12.5" x14ac:dyDescent="0.25">
      <c r="A36" s="126" t="s">
        <v>361</v>
      </c>
      <c r="B36" s="128" t="s">
        <v>89</v>
      </c>
      <c r="C36" s="126"/>
      <c r="D36" s="126"/>
      <c r="E36" s="126"/>
      <c r="F36" s="126"/>
      <c r="G36" s="126"/>
      <c r="H36" s="132"/>
      <c r="I36" s="132"/>
      <c r="J36" s="132"/>
      <c r="K36" s="132">
        <f>Отчетность!K61</f>
        <v>3475.1762294339173</v>
      </c>
      <c r="L36" s="132">
        <f>Отчетность!L61</f>
        <v>5682.077827071681</v>
      </c>
      <c r="M36" s="132">
        <f>Отчетность!M61</f>
        <v>4174.4342503401531</v>
      </c>
      <c r="N36" s="132">
        <f>Отчетность!N61</f>
        <v>5380.2057665284647</v>
      </c>
      <c r="O36" s="132">
        <f>Отчетность!O61</f>
        <v>8444.4303535891304</v>
      </c>
      <c r="P36" s="132">
        <f>Отчетность!P61</f>
        <v>10740.200566927626</v>
      </c>
      <c r="Q36" s="132">
        <f>Отчетность!Q61</f>
        <v>11761.075592154781</v>
      </c>
      <c r="R36" s="132">
        <f>Отчетность!R61</f>
        <v>11733.322107317075</v>
      </c>
      <c r="S36" s="132">
        <f>Отчетность!S61</f>
        <v>11286.93316443738</v>
      </c>
      <c r="T36" s="132">
        <f>Отчетность!T61</f>
        <v>10549.253426444851</v>
      </c>
      <c r="U36" s="132">
        <f>Отчетность!U61</f>
        <v>10056.18076280563</v>
      </c>
      <c r="V36" s="132">
        <f>Отчетность!V61</f>
        <v>9546.6353179059442</v>
      </c>
      <c r="W36" s="132">
        <f>Отчетность!W61</f>
        <v>9021.9578495211572</v>
      </c>
    </row>
    <row r="37" spans="1:23" ht="12.5" x14ac:dyDescent="0.25">
      <c r="A37" s="126" t="s">
        <v>362</v>
      </c>
      <c r="B37" s="128" t="s">
        <v>89</v>
      </c>
      <c r="C37" s="126"/>
      <c r="D37" s="126"/>
      <c r="E37" s="126"/>
      <c r="F37" s="126"/>
      <c r="G37" s="126"/>
      <c r="H37" s="132"/>
      <c r="I37" s="132"/>
      <c r="J37" s="132"/>
      <c r="K37" s="132">
        <f>Отчетность!K62</f>
        <v>3393.9174107142853</v>
      </c>
      <c r="L37" s="132">
        <f>Отчетность!L62</f>
        <v>4308.9285714285706</v>
      </c>
      <c r="M37" s="132">
        <f>Отчетность!M62</f>
        <v>4232.5892857142844</v>
      </c>
      <c r="N37" s="132">
        <f>Отчетность!N62</f>
        <v>4156.25</v>
      </c>
      <c r="O37" s="132">
        <f>Отчетность!O62</f>
        <v>4079.9107142857138</v>
      </c>
      <c r="P37" s="132">
        <f>Отчетность!P62</f>
        <v>4003.5714285714284</v>
      </c>
      <c r="Q37" s="132">
        <f>Отчетность!Q62</f>
        <v>3927.2321428571427</v>
      </c>
      <c r="R37" s="132">
        <f>Отчетность!R62</f>
        <v>3850.8928571428569</v>
      </c>
      <c r="S37" s="132">
        <f>Отчетность!S62</f>
        <v>3774.5535714285711</v>
      </c>
      <c r="T37" s="132">
        <f>Отчетность!T62</f>
        <v>3698.2142857142853</v>
      </c>
      <c r="U37" s="132">
        <f>Отчетность!U62</f>
        <v>3621.8749999999995</v>
      </c>
      <c r="V37" s="132">
        <f>Отчетность!V62</f>
        <v>3545.5357142857138</v>
      </c>
      <c r="W37" s="132">
        <f>Отчетность!W62</f>
        <v>2630.5245535714284</v>
      </c>
    </row>
    <row r="38" spans="1:23" ht="12.5" x14ac:dyDescent="0.25">
      <c r="A38" s="126"/>
      <c r="B38" s="126"/>
      <c r="C38" s="126"/>
      <c r="D38" s="126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</row>
    <row r="39" spans="1:23" ht="12.5" x14ac:dyDescent="0.25">
      <c r="A39" s="126"/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</row>
    <row r="40" spans="1:23" ht="12.5" x14ac:dyDescent="0.25">
      <c r="A40" s="126"/>
      <c r="B40" s="126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</row>
    <row r="41" spans="1:23" ht="12.5" x14ac:dyDescent="0.25">
      <c r="A41" s="126"/>
      <c r="B41" s="126"/>
      <c r="C41" s="126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</row>
    <row r="42" spans="1:23" ht="12.5" x14ac:dyDescent="0.25">
      <c r="A42" s="126"/>
      <c r="B42" s="126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126"/>
      <c r="R42" s="126"/>
      <c r="S42" s="126"/>
      <c r="T42" s="126"/>
      <c r="U42" s="126"/>
      <c r="V42" s="126"/>
      <c r="W42" s="126"/>
    </row>
    <row r="43" spans="1:23" ht="12.5" x14ac:dyDescent="0.25">
      <c r="A43" s="126"/>
      <c r="B43" s="126"/>
      <c r="C43" s="126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</row>
    <row r="44" spans="1:23" ht="12.5" x14ac:dyDescent="0.25">
      <c r="A44" s="126"/>
      <c r="B44" s="126"/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6"/>
      <c r="Q44" s="126"/>
      <c r="R44" s="126"/>
      <c r="S44" s="126"/>
      <c r="T44" s="126"/>
      <c r="U44" s="126"/>
      <c r="V44" s="126"/>
      <c r="W44" s="126"/>
    </row>
    <row r="45" spans="1:23" ht="12.5" x14ac:dyDescent="0.25">
      <c r="A45" s="126"/>
      <c r="B45" s="126"/>
      <c r="C45" s="126"/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  <c r="R45" s="126"/>
      <c r="S45" s="126"/>
      <c r="T45" s="126"/>
      <c r="U45" s="126"/>
      <c r="V45" s="126"/>
      <c r="W45" s="126"/>
    </row>
    <row r="46" spans="1:23" ht="12.5" x14ac:dyDescent="0.25">
      <c r="A46" s="126"/>
      <c r="B46" s="126"/>
      <c r="C46" s="126"/>
      <c r="D46" s="126"/>
      <c r="E46" s="126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26"/>
      <c r="R46" s="126"/>
      <c r="S46" s="126"/>
      <c r="T46" s="126"/>
      <c r="U46" s="126"/>
      <c r="V46" s="126"/>
      <c r="W46" s="126"/>
    </row>
    <row r="47" spans="1:23" ht="12.5" x14ac:dyDescent="0.25">
      <c r="A47" s="126"/>
      <c r="B47" s="126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  <c r="P47" s="126"/>
      <c r="Q47" s="126"/>
      <c r="R47" s="126"/>
      <c r="S47" s="126"/>
      <c r="T47" s="126"/>
      <c r="U47" s="126"/>
      <c r="V47" s="126"/>
      <c r="W47" s="126"/>
    </row>
    <row r="48" spans="1:23" ht="12.5" x14ac:dyDescent="0.25">
      <c r="A48" s="126"/>
      <c r="B48" s="126"/>
      <c r="C48" s="126"/>
      <c r="D48" s="126"/>
      <c r="E48" s="126"/>
      <c r="F48" s="126"/>
      <c r="G48" s="126"/>
      <c r="H48" s="126"/>
      <c r="I48" s="126"/>
      <c r="J48" s="126"/>
      <c r="K48" s="126"/>
      <c r="L48" s="126"/>
      <c r="M48" s="126"/>
      <c r="N48" s="126"/>
      <c r="O48" s="126"/>
      <c r="P48" s="126"/>
      <c r="Q48" s="126"/>
      <c r="R48" s="126"/>
      <c r="S48" s="126"/>
      <c r="T48" s="126"/>
      <c r="U48" s="126"/>
      <c r="V48" s="126"/>
      <c r="W48" s="126"/>
    </row>
    <row r="49" spans="1:23" ht="12.5" x14ac:dyDescent="0.25">
      <c r="A49" s="126"/>
      <c r="B49" s="126"/>
      <c r="C49" s="126"/>
      <c r="D49" s="126"/>
      <c r="E49" s="126"/>
      <c r="F49" s="126"/>
      <c r="G49" s="126"/>
      <c r="H49" s="126"/>
      <c r="I49" s="126"/>
      <c r="J49" s="126"/>
      <c r="K49" s="126"/>
      <c r="L49" s="126"/>
      <c r="M49" s="126"/>
      <c r="N49" s="126"/>
      <c r="O49" s="126"/>
      <c r="P49" s="126"/>
      <c r="Q49" s="126"/>
      <c r="R49" s="126"/>
      <c r="S49" s="126"/>
      <c r="T49" s="126"/>
      <c r="U49" s="126"/>
      <c r="V49" s="126"/>
      <c r="W49" s="126"/>
    </row>
    <row r="50" spans="1:23" ht="12.5" x14ac:dyDescent="0.25">
      <c r="A50" s="126"/>
      <c r="B50" s="126"/>
      <c r="C50" s="126"/>
      <c r="D50" s="126"/>
      <c r="E50" s="126"/>
      <c r="F50" s="126"/>
      <c r="G50" s="126"/>
      <c r="H50" s="126"/>
      <c r="I50" s="126"/>
      <c r="J50" s="126"/>
      <c r="K50" s="126"/>
      <c r="L50" s="126"/>
      <c r="M50" s="126"/>
      <c r="N50" s="126"/>
      <c r="O50" s="126"/>
      <c r="P50" s="126"/>
      <c r="Q50" s="126"/>
      <c r="R50" s="126"/>
      <c r="S50" s="126"/>
      <c r="T50" s="126"/>
      <c r="U50" s="126"/>
      <c r="V50" s="126"/>
      <c r="W50" s="126"/>
    </row>
    <row r="51" spans="1:23" ht="12.5" x14ac:dyDescent="0.25">
      <c r="A51" s="126"/>
      <c r="B51" s="126"/>
      <c r="C51" s="126"/>
      <c r="D51" s="126"/>
      <c r="E51" s="126"/>
      <c r="F51" s="126"/>
      <c r="G51" s="126"/>
      <c r="H51" s="126"/>
      <c r="I51" s="126"/>
      <c r="J51" s="126"/>
      <c r="K51" s="126"/>
      <c r="L51" s="126"/>
      <c r="M51" s="126"/>
      <c r="N51" s="126"/>
      <c r="O51" s="126"/>
      <c r="P51" s="126"/>
      <c r="Q51" s="126"/>
      <c r="R51" s="126"/>
      <c r="S51" s="126"/>
      <c r="T51" s="126"/>
      <c r="U51" s="126"/>
      <c r="V51" s="126"/>
      <c r="W51" s="126"/>
    </row>
    <row r="52" spans="1:23" ht="12.5" x14ac:dyDescent="0.25">
      <c r="A52" s="126"/>
      <c r="B52" s="126"/>
      <c r="C52" s="126"/>
      <c r="D52" s="126"/>
      <c r="E52" s="126"/>
      <c r="F52" s="126"/>
      <c r="G52" s="126"/>
      <c r="H52" s="126"/>
      <c r="I52" s="126"/>
      <c r="J52" s="126"/>
      <c r="K52" s="126"/>
      <c r="L52" s="126"/>
      <c r="M52" s="126"/>
      <c r="N52" s="126"/>
      <c r="O52" s="126"/>
      <c r="P52" s="126"/>
      <c r="Q52" s="126"/>
      <c r="R52" s="126"/>
      <c r="S52" s="126"/>
      <c r="T52" s="126"/>
      <c r="U52" s="126"/>
      <c r="V52" s="126"/>
      <c r="W52" s="126"/>
    </row>
    <row r="53" spans="1:23" ht="12.5" x14ac:dyDescent="0.25">
      <c r="A53" s="126"/>
      <c r="B53" s="126"/>
      <c r="C53" s="126"/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126"/>
      <c r="Q53" s="126"/>
      <c r="R53" s="126"/>
      <c r="S53" s="126"/>
      <c r="T53" s="126"/>
      <c r="U53" s="126"/>
      <c r="V53" s="126"/>
      <c r="W53" s="126"/>
    </row>
    <row r="54" spans="1:23" ht="12.5" x14ac:dyDescent="0.25">
      <c r="A54" s="126"/>
      <c r="B54" s="126"/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26"/>
      <c r="R54" s="126"/>
      <c r="S54" s="126"/>
      <c r="T54" s="126"/>
      <c r="U54" s="126"/>
      <c r="V54" s="126"/>
      <c r="W54" s="126"/>
    </row>
    <row r="55" spans="1:23" ht="12.5" x14ac:dyDescent="0.25">
      <c r="A55" s="126"/>
      <c r="B55" s="126"/>
      <c r="C55" s="126"/>
      <c r="D55" s="126"/>
      <c r="E55" s="126"/>
      <c r="F55" s="126"/>
      <c r="G55" s="126"/>
      <c r="H55" s="126"/>
      <c r="I55" s="126"/>
      <c r="J55" s="126"/>
      <c r="K55" s="126"/>
      <c r="L55" s="126"/>
      <c r="M55" s="126"/>
      <c r="N55" s="126"/>
      <c r="O55" s="126"/>
      <c r="P55" s="126"/>
      <c r="Q55" s="126"/>
      <c r="R55" s="126"/>
      <c r="S55" s="126"/>
      <c r="T55" s="126"/>
      <c r="U55" s="126"/>
      <c r="V55" s="126"/>
      <c r="W55" s="126"/>
    </row>
    <row r="56" spans="1:23" ht="13" x14ac:dyDescent="0.3">
      <c r="A56" s="127" t="s">
        <v>363</v>
      </c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</row>
    <row r="57" spans="1:23" ht="13" x14ac:dyDescent="0.3">
      <c r="A57" s="155" t="s">
        <v>213</v>
      </c>
      <c r="B57" s="128" t="s">
        <v>214</v>
      </c>
      <c r="C57" s="126"/>
      <c r="D57" s="126"/>
      <c r="E57" s="126"/>
      <c r="F57" s="126"/>
      <c r="G57" s="126"/>
      <c r="H57" s="136">
        <v>0.95</v>
      </c>
      <c r="I57" s="136">
        <v>0.91256157635467972</v>
      </c>
      <c r="J57" s="136">
        <v>0.87400971121901339</v>
      </c>
      <c r="K57" s="136">
        <v>0.8340760645444506</v>
      </c>
      <c r="L57" s="136">
        <v>0.79241891434438083</v>
      </c>
      <c r="M57" s="136">
        <v>0.74859657295261461</v>
      </c>
      <c r="N57" s="136">
        <v>0.70202832475298382</v>
      </c>
      <c r="O57" s="136">
        <v>0.65193547034916366</v>
      </c>
      <c r="P57" s="136">
        <v>0.59724955944932256</v>
      </c>
      <c r="Q57" s="136">
        <v>0.53646432833828817</v>
      </c>
      <c r="R57" s="136">
        <v>0.4673864605342482</v>
      </c>
      <c r="S57" s="136">
        <v>0.38669414006595543</v>
      </c>
      <c r="T57" s="136">
        <v>0.28910495981793904</v>
      </c>
      <c r="U57" s="136">
        <v>0.16568010447747739</v>
      </c>
      <c r="V57" s="136">
        <v>0</v>
      </c>
      <c r="W57" s="136">
        <v>0</v>
      </c>
    </row>
    <row r="58" spans="1:23" ht="13" x14ac:dyDescent="0.3">
      <c r="A58" s="155" t="s">
        <v>216</v>
      </c>
      <c r="B58" s="128" t="s">
        <v>214</v>
      </c>
      <c r="C58" s="126"/>
      <c r="D58" s="126"/>
      <c r="E58" s="126"/>
      <c r="F58" s="126"/>
      <c r="G58" s="126"/>
      <c r="H58" s="139"/>
      <c r="I58" s="139"/>
      <c r="J58" s="139"/>
      <c r="K58" s="139">
        <v>-3.1592227065012697</v>
      </c>
      <c r="L58" s="139">
        <v>11.357821569941722</v>
      </c>
      <c r="M58" s="139">
        <v>2.0256501100319273</v>
      </c>
      <c r="N58" s="139">
        <v>1.1150256151265465</v>
      </c>
      <c r="O58" s="139">
        <v>0.77402826210134312</v>
      </c>
      <c r="P58" s="139">
        <v>0.62593752915454826</v>
      </c>
      <c r="Q58" s="139">
        <v>0.51426884817122842</v>
      </c>
      <c r="R58" s="139">
        <v>0.42354143985083964</v>
      </c>
      <c r="S58" s="139">
        <v>0.34324258723556567</v>
      </c>
      <c r="T58" s="139">
        <v>0.25081609539602545</v>
      </c>
      <c r="U58" s="139">
        <v>0.13911739623923089</v>
      </c>
      <c r="V58" s="139">
        <v>0</v>
      </c>
      <c r="W58" s="139">
        <v>0</v>
      </c>
    </row>
    <row r="59" spans="1:23" ht="13" x14ac:dyDescent="0.3">
      <c r="A59" s="155" t="s">
        <v>218</v>
      </c>
      <c r="B59" s="128" t="s">
        <v>214</v>
      </c>
      <c r="C59" s="126"/>
      <c r="D59" s="126"/>
      <c r="E59" s="126"/>
      <c r="F59" s="126"/>
      <c r="G59" s="126"/>
      <c r="H59" s="139"/>
      <c r="I59" s="139"/>
      <c r="J59" s="139"/>
      <c r="K59" s="139">
        <v>-2.5682142356347799</v>
      </c>
      <c r="L59" s="139">
        <v>9.5975384345668626</v>
      </c>
      <c r="M59" s="139">
        <v>1.6982301416218619</v>
      </c>
      <c r="N59" s="139">
        <v>0.88153874260302645</v>
      </c>
      <c r="O59" s="139">
        <v>0.52889353656968285</v>
      </c>
      <c r="P59" s="139">
        <v>0.39333701883959399</v>
      </c>
      <c r="Q59" s="139">
        <v>0.29002586415134735</v>
      </c>
      <c r="R59" s="139">
        <v>0.20491323696659064</v>
      </c>
      <c r="S59" s="139">
        <v>0.12823413026291436</v>
      </c>
      <c r="T59" s="139">
        <v>0.12123631134292712</v>
      </c>
      <c r="U59" s="139">
        <v>0.12747458749797841</v>
      </c>
      <c r="V59" s="139">
        <v>0.15277271831885667</v>
      </c>
      <c r="W59" s="139">
        <v>0.2088861620268587</v>
      </c>
    </row>
    <row r="60" spans="1:23" ht="13" x14ac:dyDescent="0.3">
      <c r="A60" s="155" t="s">
        <v>359</v>
      </c>
      <c r="B60" s="128" t="s">
        <v>214</v>
      </c>
      <c r="C60" s="126"/>
      <c r="D60" s="126"/>
      <c r="E60" s="126"/>
      <c r="F60" s="126"/>
      <c r="G60" s="126"/>
      <c r="H60" s="139"/>
      <c r="I60" s="139"/>
      <c r="J60" s="139"/>
      <c r="K60" s="139">
        <v>-6.957644331475155</v>
      </c>
      <c r="L60" s="139">
        <v>-3.8707766989056829</v>
      </c>
      <c r="M60" s="139">
        <v>-1.0667700613151314</v>
      </c>
      <c r="N60" s="139">
        <v>1.4095164891136385</v>
      </c>
      <c r="O60" s="139">
        <v>3.4106794224332524</v>
      </c>
      <c r="P60" s="139">
        <v>4.1470806233216484</v>
      </c>
      <c r="Q60" s="139">
        <v>4.4616680230044201</v>
      </c>
      <c r="R60" s="139">
        <v>4.1243294760546698</v>
      </c>
      <c r="S60" s="139">
        <v>2.7204217498128878</v>
      </c>
      <c r="T60" s="139">
        <v>0.40420361412490885</v>
      </c>
      <c r="U60" s="139">
        <v>-3.5902369721452998</v>
      </c>
      <c r="V60" s="139">
        <v>-11.787450094405772</v>
      </c>
      <c r="W60" s="139">
        <v>-32.720688222913623</v>
      </c>
    </row>
    <row r="61" spans="1:23" ht="13" x14ac:dyDescent="0.3">
      <c r="A61" s="155" t="s">
        <v>360</v>
      </c>
      <c r="B61" s="128" t="s">
        <v>214</v>
      </c>
      <c r="C61" s="126"/>
      <c r="D61" s="126"/>
      <c r="E61" s="126"/>
      <c r="F61" s="126"/>
      <c r="G61" s="126"/>
      <c r="H61" s="136"/>
      <c r="I61" s="136"/>
      <c r="J61" s="136"/>
      <c r="K61" s="136">
        <v>0.96962231165645962</v>
      </c>
      <c r="L61" s="136">
        <v>1.243447799598405</v>
      </c>
      <c r="M61" s="136">
        <v>0.73439223397467046</v>
      </c>
      <c r="N61" s="136">
        <v>0.67147281211607712</v>
      </c>
      <c r="O61" s="136">
        <v>1.0327673792057661</v>
      </c>
      <c r="P61" s="136">
        <v>1.1428105353402407</v>
      </c>
      <c r="Q61" s="136">
        <v>1.1555152826719672</v>
      </c>
      <c r="R61" s="136">
        <v>1.085242806932722</v>
      </c>
      <c r="S61" s="136">
        <v>0.92453890321151644</v>
      </c>
      <c r="T61" s="136">
        <v>0.72685957436898707</v>
      </c>
      <c r="U61" s="136">
        <v>0.51073020021132687</v>
      </c>
      <c r="V61" s="136">
        <v>0.27450799398849968</v>
      </c>
      <c r="W61" s="136">
        <v>2.1592359780496576E-2</v>
      </c>
    </row>
    <row r="62" spans="1:23" ht="12.5" x14ac:dyDescent="0.25">
      <c r="A62" s="126" t="s">
        <v>361</v>
      </c>
      <c r="B62" s="128" t="s">
        <v>89</v>
      </c>
      <c r="C62" s="126"/>
      <c r="D62" s="126"/>
      <c r="E62" s="126"/>
      <c r="F62" s="126"/>
      <c r="G62" s="126"/>
      <c r="H62" s="133"/>
      <c r="I62" s="133"/>
      <c r="J62" s="133"/>
      <c r="K62" s="133">
        <v>3336.5666873403879</v>
      </c>
      <c r="L62" s="133">
        <v>5421.2103619991176</v>
      </c>
      <c r="M62" s="133">
        <v>3142.641410162591</v>
      </c>
      <c r="N62" s="133">
        <v>2819.286516942725</v>
      </c>
      <c r="O62" s="133">
        <v>4253.0190578051734</v>
      </c>
      <c r="P62" s="133">
        <v>4614.0975364362212</v>
      </c>
      <c r="Q62" s="133">
        <v>4572.281119626331</v>
      </c>
      <c r="R62" s="133">
        <v>4206.769327052154</v>
      </c>
      <c r="S62" s="133">
        <v>3509.3267966767494</v>
      </c>
      <c r="T62" s="133">
        <v>2700.4131151333531</v>
      </c>
      <c r="U62" s="133">
        <v>1856.2990736698739</v>
      </c>
      <c r="V62" s="133">
        <v>975.6063125635917</v>
      </c>
      <c r="W62" s="133">
        <v>56.902254154802478</v>
      </c>
    </row>
    <row r="63" spans="1:23" ht="12.5" x14ac:dyDescent="0.25">
      <c r="A63" s="126" t="s">
        <v>362</v>
      </c>
      <c r="B63" s="128" t="s">
        <v>89</v>
      </c>
      <c r="C63" s="126"/>
      <c r="D63" s="126"/>
      <c r="E63" s="126"/>
      <c r="F63" s="126"/>
      <c r="G63" s="126"/>
      <c r="H63" s="133"/>
      <c r="I63" s="133"/>
      <c r="J63" s="133"/>
      <c r="K63" s="133">
        <v>3441.0993303571427</v>
      </c>
      <c r="L63" s="133">
        <v>4359.8214285714284</v>
      </c>
      <c r="M63" s="133">
        <v>4279.2410714285716</v>
      </c>
      <c r="N63" s="133">
        <v>4198.6607142857138</v>
      </c>
      <c r="O63" s="133">
        <v>4118.0803571428569</v>
      </c>
      <c r="P63" s="133">
        <v>4037.4999999999995</v>
      </c>
      <c r="Q63" s="133">
        <v>3956.9196428571427</v>
      </c>
      <c r="R63" s="133">
        <v>3876.3392857142853</v>
      </c>
      <c r="S63" s="133">
        <v>3795.7589285714284</v>
      </c>
      <c r="T63" s="133">
        <v>3715.1785714285716</v>
      </c>
      <c r="U63" s="133">
        <v>3634.5982142857138</v>
      </c>
      <c r="V63" s="133">
        <v>3554.0178571428564</v>
      </c>
      <c r="W63" s="133">
        <v>2635.2957589285711</v>
      </c>
    </row>
    <row r="64" spans="1:23" ht="12.5" x14ac:dyDescent="0.25">
      <c r="A64" s="126"/>
      <c r="B64" s="126"/>
      <c r="C64" s="126"/>
      <c r="D64" s="126"/>
      <c r="E64" s="126"/>
      <c r="F64" s="126"/>
      <c r="G64" s="126"/>
      <c r="H64" s="126"/>
      <c r="I64" s="126"/>
      <c r="J64" s="126"/>
      <c r="K64" s="126"/>
      <c r="L64" s="126"/>
      <c r="M64" s="126"/>
      <c r="N64" s="126"/>
      <c r="O64" s="126"/>
      <c r="P64" s="126"/>
      <c r="Q64" s="126"/>
      <c r="R64" s="126"/>
      <c r="S64" s="126"/>
      <c r="T64" s="126"/>
      <c r="U64" s="126"/>
      <c r="V64" s="126"/>
      <c r="W64" s="126"/>
    </row>
    <row r="65" spans="1:23" ht="42" customHeight="1" x14ac:dyDescent="0.25">
      <c r="A65" s="140" t="s">
        <v>329</v>
      </c>
      <c r="B65" s="168" t="s">
        <v>366</v>
      </c>
      <c r="C65" s="169"/>
      <c r="D65" s="169"/>
      <c r="E65" s="169"/>
      <c r="F65" s="169"/>
      <c r="G65" s="169"/>
      <c r="H65" s="169"/>
      <c r="I65" s="169"/>
      <c r="J65" s="169"/>
      <c r="K65" s="169"/>
      <c r="L65" s="169"/>
      <c r="M65" s="169"/>
      <c r="N65" s="169"/>
      <c r="O65" s="169"/>
      <c r="P65" s="169"/>
      <c r="Q65" s="169"/>
      <c r="R65" s="169"/>
      <c r="S65" s="169"/>
      <c r="T65" s="169"/>
      <c r="U65" s="169"/>
      <c r="V65" s="169"/>
      <c r="W65" s="169"/>
    </row>
    <row r="66" spans="1:23" ht="12.5" x14ac:dyDescent="0.25">
      <c r="A66" s="126"/>
      <c r="B66" s="126"/>
      <c r="C66" s="126"/>
      <c r="D66" s="126"/>
      <c r="E66" s="126"/>
      <c r="F66" s="126"/>
      <c r="G66" s="126"/>
      <c r="H66" s="126"/>
      <c r="I66" s="126"/>
      <c r="J66" s="126"/>
      <c r="K66" s="126"/>
      <c r="L66" s="126"/>
      <c r="M66" s="126"/>
      <c r="N66" s="126"/>
      <c r="O66" s="126"/>
      <c r="P66" s="126"/>
      <c r="Q66" s="126"/>
      <c r="R66" s="126"/>
      <c r="S66" s="126"/>
      <c r="T66" s="126"/>
      <c r="U66" s="126"/>
      <c r="V66" s="126"/>
      <c r="W66" s="126"/>
    </row>
    <row r="67" spans="1:23" ht="12.5" x14ac:dyDescent="0.25">
      <c r="A67" s="126"/>
      <c r="B67" s="126"/>
      <c r="C67" s="126"/>
      <c r="D67" s="126"/>
      <c r="E67" s="126"/>
      <c r="F67" s="126"/>
      <c r="G67" s="126"/>
      <c r="H67" s="126"/>
      <c r="I67" s="126"/>
      <c r="J67" s="126"/>
      <c r="K67" s="126"/>
      <c r="L67" s="126"/>
      <c r="M67" s="126"/>
      <c r="N67" s="126"/>
      <c r="O67" s="126"/>
      <c r="P67" s="126"/>
      <c r="Q67" s="126"/>
      <c r="R67" s="126"/>
      <c r="S67" s="126"/>
      <c r="T67" s="126"/>
      <c r="U67" s="126"/>
      <c r="V67" s="126"/>
      <c r="W67" s="126"/>
    </row>
    <row r="68" spans="1:23" ht="12.5" x14ac:dyDescent="0.25">
      <c r="A68" s="126"/>
      <c r="B68" s="126"/>
      <c r="C68" s="126"/>
      <c r="D68" s="126"/>
      <c r="E68" s="126"/>
      <c r="F68" s="126"/>
      <c r="G68" s="126"/>
      <c r="H68" s="126"/>
      <c r="I68" s="126"/>
      <c r="J68" s="126"/>
      <c r="K68" s="126"/>
      <c r="L68" s="126"/>
      <c r="M68" s="126"/>
      <c r="N68" s="126"/>
      <c r="O68" s="126"/>
      <c r="P68" s="126"/>
      <c r="Q68" s="126"/>
      <c r="R68" s="126"/>
      <c r="S68" s="126"/>
      <c r="T68" s="126"/>
      <c r="U68" s="126"/>
      <c r="V68" s="126"/>
      <c r="W68" s="126"/>
    </row>
    <row r="69" spans="1:23" ht="12.5" x14ac:dyDescent="0.25">
      <c r="A69" s="126"/>
      <c r="B69" s="126"/>
      <c r="C69" s="126"/>
      <c r="D69" s="126"/>
      <c r="E69" s="126"/>
      <c r="F69" s="126"/>
      <c r="G69" s="126"/>
      <c r="H69" s="126"/>
      <c r="I69" s="126"/>
      <c r="J69" s="126"/>
      <c r="K69" s="126"/>
      <c r="L69" s="126"/>
      <c r="M69" s="126"/>
      <c r="N69" s="126"/>
      <c r="O69" s="126"/>
      <c r="P69" s="126"/>
      <c r="Q69" s="126"/>
      <c r="R69" s="126"/>
      <c r="S69" s="126"/>
      <c r="T69" s="126"/>
      <c r="U69" s="126"/>
      <c r="V69" s="126"/>
      <c r="W69" s="126"/>
    </row>
    <row r="70" spans="1:23" ht="12.5" x14ac:dyDescent="0.25">
      <c r="A70" s="126"/>
      <c r="B70" s="126"/>
      <c r="C70" s="126"/>
      <c r="D70" s="126"/>
      <c r="E70" s="126"/>
      <c r="F70" s="126"/>
      <c r="G70" s="126"/>
      <c r="H70" s="126"/>
      <c r="I70" s="126"/>
      <c r="J70" s="126"/>
      <c r="K70" s="126"/>
      <c r="L70" s="126"/>
      <c r="M70" s="126"/>
      <c r="N70" s="126"/>
      <c r="O70" s="126"/>
      <c r="P70" s="126"/>
      <c r="Q70" s="126"/>
      <c r="R70" s="126"/>
      <c r="S70" s="126"/>
      <c r="T70" s="126"/>
      <c r="U70" s="126"/>
      <c r="V70" s="126"/>
      <c r="W70" s="126"/>
    </row>
    <row r="71" spans="1:23" ht="12.5" x14ac:dyDescent="0.25">
      <c r="A71" s="126"/>
      <c r="B71" s="126"/>
      <c r="C71" s="126" t="s">
        <v>340</v>
      </c>
      <c r="D71" s="151">
        <v>1</v>
      </c>
      <c r="E71" s="126"/>
      <c r="F71" s="126"/>
      <c r="G71" s="126"/>
      <c r="H71" s="126"/>
      <c r="I71" s="126"/>
      <c r="J71" s="126"/>
      <c r="K71" s="126"/>
      <c r="L71" s="126"/>
      <c r="M71" s="126"/>
      <c r="N71" s="126"/>
      <c r="O71" s="126"/>
      <c r="P71" s="126"/>
      <c r="Q71" s="126"/>
      <c r="R71" s="126"/>
      <c r="S71" s="126"/>
      <c r="T71" s="126"/>
      <c r="U71" s="126"/>
      <c r="V71" s="126"/>
      <c r="W71" s="126"/>
    </row>
    <row r="72" spans="1:23" ht="12.5" x14ac:dyDescent="0.25">
      <c r="A72" s="126"/>
      <c r="B72" s="126"/>
      <c r="C72" s="126" t="s">
        <v>364</v>
      </c>
      <c r="D72" s="151">
        <v>2</v>
      </c>
      <c r="E72" s="126"/>
      <c r="F72" s="126"/>
      <c r="G72" s="126"/>
      <c r="H72" s="126"/>
      <c r="I72" s="126"/>
      <c r="J72" s="126"/>
      <c r="K72" s="126"/>
      <c r="L72" s="126"/>
      <c r="M72" s="126"/>
      <c r="N72" s="126"/>
      <c r="O72" s="126"/>
      <c r="P72" s="126"/>
      <c r="Q72" s="126"/>
      <c r="R72" s="126"/>
      <c r="S72" s="126"/>
      <c r="T72" s="126"/>
      <c r="U72" s="126"/>
      <c r="V72" s="126"/>
      <c r="W72" s="126"/>
    </row>
  </sheetData>
  <mergeCells count="10">
    <mergeCell ref="B65:W65"/>
    <mergeCell ref="H1:K1"/>
    <mergeCell ref="A1:A2"/>
    <mergeCell ref="P1:S1"/>
    <mergeCell ref="T1:W1"/>
    <mergeCell ref="C25:D25"/>
    <mergeCell ref="C1:C2"/>
    <mergeCell ref="B1:B2"/>
    <mergeCell ref="D1:D2"/>
    <mergeCell ref="L1:O1"/>
  </mergeCells>
  <conditionalFormatting sqref="H27:W37">
    <cfRule type="expression" dxfId="0" priority="1">
      <formula>$B$25=2</formula>
    </cfRule>
  </conditionalFormatting>
  <dataValidations count="1">
    <dataValidation type="list" sqref="C25">
      <formula1>$C$71:$C$72</formula1>
    </dataValidation>
  </dataValidations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Допущения</vt:lpstr>
      <vt:lpstr>Расчеты</vt:lpstr>
      <vt:lpstr>Отчетность</vt:lpstr>
      <vt:lpstr>Годовая отчетность</vt:lpstr>
      <vt:lpstr>Инвестиционная оценка</vt:lpstr>
      <vt:lpstr>Анализ чувствительности</vt:lpstr>
      <vt:lpstr>Сценарный анализ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 Смирнов</dc:creator>
  <cp:lastModifiedBy>Григорий Смирнов</cp:lastModifiedBy>
  <dcterms:created xsi:type="dcterms:W3CDTF">2026-09-10T18:06:29Z</dcterms:created>
  <dcterms:modified xsi:type="dcterms:W3CDTF">2026-09-24T06:39:10Z</dcterms:modified>
</cp:coreProperties>
</file>