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ookViews>
    <workbookView xWindow="0" yWindow="0" windowWidth="12210" windowHeight="11840" activeTab="2"/>
  </bookViews>
  <sheets>
    <sheet name="Допущения" sheetId="1" r:id="rId1"/>
    <sheet name="Расчёты" sheetId="2" r:id="rId2"/>
    <sheet name="Оценка" sheetId="3" r:id="rId3"/>
  </sheets>
  <calcPr calcId="162913"/>
</workbook>
</file>

<file path=xl/calcChain.xml><?xml version="1.0" encoding="utf-8"?>
<calcChain xmlns="http://schemas.openxmlformats.org/spreadsheetml/2006/main">
  <c r="C40" i="3" l="1"/>
  <c r="H163" i="3" l="1"/>
  <c r="K123" i="3"/>
  <c r="C120" i="3"/>
  <c r="E111" i="3"/>
  <c r="D111" i="3"/>
  <c r="C111" i="3"/>
  <c r="C108" i="3"/>
  <c r="C98" i="3"/>
  <c r="C92" i="3"/>
  <c r="C94" i="3" s="1"/>
  <c r="C76" i="3"/>
  <c r="G67" i="3"/>
  <c r="J64" i="3"/>
  <c r="E64" i="3"/>
  <c r="I64" i="3" s="1"/>
  <c r="E63" i="3"/>
  <c r="H63" i="3" s="1"/>
  <c r="J62" i="3"/>
  <c r="E62" i="3"/>
  <c r="H62" i="3" s="1"/>
  <c r="J61" i="3"/>
  <c r="E61" i="3"/>
  <c r="I61" i="3" s="1"/>
  <c r="D39" i="3"/>
  <c r="C39" i="3"/>
  <c r="E38" i="3"/>
  <c r="E37" i="3"/>
  <c r="E36" i="3"/>
  <c r="C34" i="3"/>
  <c r="E33" i="3"/>
  <c r="E32" i="3"/>
  <c r="E31" i="3"/>
  <c r="E30" i="3"/>
  <c r="D29" i="3"/>
  <c r="E29" i="3" s="1"/>
  <c r="D28" i="3"/>
  <c r="E27" i="3"/>
  <c r="E26" i="3"/>
  <c r="C20" i="3"/>
  <c r="C15" i="3"/>
  <c r="E33" i="2"/>
  <c r="E23" i="2"/>
  <c r="E117" i="3" s="1"/>
  <c r="D23" i="2"/>
  <c r="D117" i="3" s="1"/>
  <c r="C23" i="2"/>
  <c r="C33" i="2" s="1"/>
  <c r="E19" i="2"/>
  <c r="D19" i="2"/>
  <c r="C19" i="2"/>
  <c r="E17" i="2"/>
  <c r="D17" i="2"/>
  <c r="C17" i="2"/>
  <c r="J13" i="2"/>
  <c r="I13" i="2"/>
  <c r="H13" i="2"/>
  <c r="G13" i="2"/>
  <c r="F13" i="2"/>
  <c r="E13" i="2"/>
  <c r="D13" i="2"/>
  <c r="C13" i="2"/>
  <c r="E12" i="2"/>
  <c r="D12" i="2"/>
  <c r="C12" i="2"/>
  <c r="E11" i="2"/>
  <c r="D11" i="2"/>
  <c r="C11" i="2"/>
  <c r="E10" i="2"/>
  <c r="D10" i="2"/>
  <c r="C10" i="2"/>
  <c r="E6" i="2"/>
  <c r="D6" i="2"/>
  <c r="C6" i="2"/>
  <c r="E5" i="2"/>
  <c r="D5" i="2"/>
  <c r="C5" i="2"/>
  <c r="F67" i="3" s="1"/>
  <c r="J67" i="3" s="1"/>
  <c r="E2" i="2"/>
  <c r="D2" i="2"/>
  <c r="C2" i="2"/>
  <c r="E41" i="1"/>
  <c r="D41" i="1"/>
  <c r="C41" i="1"/>
  <c r="E37" i="1"/>
  <c r="D37" i="1"/>
  <c r="C37" i="1"/>
  <c r="E33" i="1"/>
  <c r="D33" i="1"/>
  <c r="C33" i="1"/>
  <c r="E27" i="1"/>
  <c r="D27" i="1"/>
  <c r="C27" i="1"/>
  <c r="E24" i="1"/>
  <c r="D24" i="1"/>
  <c r="C24" i="1"/>
  <c r="E21" i="1"/>
  <c r="D21" i="1"/>
  <c r="C21" i="1"/>
  <c r="E17" i="1"/>
  <c r="D17" i="1"/>
  <c r="C17" i="1"/>
  <c r="E12" i="1"/>
  <c r="D12" i="1"/>
  <c r="C12" i="1"/>
  <c r="E10" i="1"/>
  <c r="D10" i="1"/>
  <c r="F9" i="1"/>
  <c r="G9" i="1" s="1"/>
  <c r="F6" i="1"/>
  <c r="F111" i="3" s="1"/>
  <c r="E39" i="3" l="1"/>
  <c r="D34" i="3"/>
  <c r="C78" i="3"/>
  <c r="C97" i="3"/>
  <c r="C16" i="3"/>
  <c r="E163" i="3" s="1"/>
  <c r="F15" i="1"/>
  <c r="C96" i="3"/>
  <c r="C100" i="3" s="1"/>
  <c r="H61" i="3"/>
  <c r="H64" i="3"/>
  <c r="F2" i="2"/>
  <c r="C14" i="2"/>
  <c r="D14" i="2"/>
  <c r="D7" i="2"/>
  <c r="E14" i="2"/>
  <c r="E15" i="2" s="1"/>
  <c r="I62" i="3"/>
  <c r="I65" i="3" s="1"/>
  <c r="D112" i="3"/>
  <c r="E7" i="2"/>
  <c r="D33" i="2"/>
  <c r="D8" i="2"/>
  <c r="D15" i="2"/>
  <c r="E8" i="2"/>
  <c r="G15" i="1"/>
  <c r="H9" i="1"/>
  <c r="I66" i="3"/>
  <c r="F16" i="1"/>
  <c r="F6" i="2" s="1"/>
  <c r="F20" i="1"/>
  <c r="F10" i="2" s="1"/>
  <c r="F23" i="1"/>
  <c r="F11" i="2" s="1"/>
  <c r="F26" i="1"/>
  <c r="F12" i="2" s="1"/>
  <c r="F32" i="1"/>
  <c r="F17" i="2" s="1"/>
  <c r="C21" i="3"/>
  <c r="E160" i="3"/>
  <c r="C67" i="3"/>
  <c r="C112" i="3"/>
  <c r="D164" i="3"/>
  <c r="E112" i="3"/>
  <c r="C7" i="2"/>
  <c r="D67" i="3"/>
  <c r="G6" i="1"/>
  <c r="E28" i="3"/>
  <c r="E34" i="3" s="1"/>
  <c r="C41" i="3" s="1"/>
  <c r="H65" i="3" l="1"/>
  <c r="C73" i="3"/>
  <c r="C75" i="3" s="1"/>
  <c r="C77" i="3" s="1"/>
  <c r="C79" i="3" s="1"/>
  <c r="C22" i="3"/>
  <c r="C164" i="3" s="1"/>
  <c r="E162" i="3"/>
  <c r="E161" i="3"/>
  <c r="E164" i="3"/>
  <c r="H66" i="3"/>
  <c r="D120" i="3"/>
  <c r="D121" i="3" s="1"/>
  <c r="D119" i="3"/>
  <c r="F40" i="1"/>
  <c r="F23" i="2" s="1"/>
  <c r="F5" i="2"/>
  <c r="F112" i="3" s="1"/>
  <c r="C8" i="2"/>
  <c r="C15" i="2"/>
  <c r="E113" i="3"/>
  <c r="E24" i="2"/>
  <c r="E25" i="2" s="1"/>
  <c r="E18" i="2"/>
  <c r="E20" i="2" s="1"/>
  <c r="E16" i="2"/>
  <c r="E120" i="3"/>
  <c r="E119" i="3"/>
  <c r="C144" i="3"/>
  <c r="I124" i="3"/>
  <c r="C152" i="3"/>
  <c r="H124" i="3"/>
  <c r="C145" i="3"/>
  <c r="G124" i="3"/>
  <c r="C153" i="3"/>
  <c r="F124" i="3"/>
  <c r="J124" i="3"/>
  <c r="C146" i="3"/>
  <c r="E124" i="3"/>
  <c r="K124" i="3"/>
  <c r="C154" i="3"/>
  <c r="D124" i="3"/>
  <c r="C151" i="3"/>
  <c r="C147" i="3"/>
  <c r="C143" i="3"/>
  <c r="C155" i="3"/>
  <c r="D113" i="3"/>
  <c r="D24" i="2"/>
  <c r="D25" i="2" s="1"/>
  <c r="D18" i="2"/>
  <c r="D20" i="2" s="1"/>
  <c r="D16" i="2"/>
  <c r="G164" i="3"/>
  <c r="F164" i="3"/>
  <c r="C161" i="3"/>
  <c r="C81" i="3"/>
  <c r="C80" i="3"/>
  <c r="D161" i="3" s="1"/>
  <c r="C42" i="3"/>
  <c r="C162" i="3" s="1"/>
  <c r="D162" i="3"/>
  <c r="H15" i="1"/>
  <c r="I9" i="1"/>
  <c r="G111" i="3"/>
  <c r="G2" i="2"/>
  <c r="H6" i="1"/>
  <c r="E67" i="3"/>
  <c r="F14" i="2"/>
  <c r="G40" i="1"/>
  <c r="G23" i="2" s="1"/>
  <c r="G32" i="1"/>
  <c r="G17" i="2" s="1"/>
  <c r="G26" i="1"/>
  <c r="G12" i="2" s="1"/>
  <c r="G23" i="1"/>
  <c r="G11" i="2" s="1"/>
  <c r="G20" i="1"/>
  <c r="G10" i="2" s="1"/>
  <c r="G14" i="2" s="1"/>
  <c r="G16" i="1"/>
  <c r="G6" i="2" s="1"/>
  <c r="G5" i="2"/>
  <c r="E121" i="3" l="1"/>
  <c r="F120" i="3"/>
  <c r="F121" i="3" s="1"/>
  <c r="F119" i="3"/>
  <c r="F33" i="2"/>
  <c r="F117" i="3"/>
  <c r="F7" i="2"/>
  <c r="F8" i="2" s="1"/>
  <c r="G162" i="3"/>
  <c r="F162" i="3"/>
  <c r="G7" i="2"/>
  <c r="G112" i="3"/>
  <c r="H2" i="2"/>
  <c r="H111" i="3"/>
  <c r="I6" i="1"/>
  <c r="C18" i="2"/>
  <c r="C20" i="2" s="1"/>
  <c r="C113" i="3"/>
  <c r="C114" i="3" s="1"/>
  <c r="C24" i="2"/>
  <c r="C25" i="2" s="1"/>
  <c r="C16" i="2"/>
  <c r="H40" i="1"/>
  <c r="H23" i="2" s="1"/>
  <c r="H32" i="1"/>
  <c r="H17" i="2" s="1"/>
  <c r="H26" i="1"/>
  <c r="H12" i="2" s="1"/>
  <c r="H23" i="1"/>
  <c r="H11" i="2" s="1"/>
  <c r="H20" i="1"/>
  <c r="H10" i="2" s="1"/>
  <c r="H16" i="1"/>
  <c r="H6" i="2" s="1"/>
  <c r="H5" i="2"/>
  <c r="G33" i="2"/>
  <c r="G117" i="3"/>
  <c r="H67" i="3"/>
  <c r="I67" i="3"/>
  <c r="E27" i="2"/>
  <c r="E21" i="2"/>
  <c r="E32" i="2"/>
  <c r="E34" i="2" s="1"/>
  <c r="D27" i="2"/>
  <c r="D21" i="2"/>
  <c r="D32" i="2"/>
  <c r="D34" i="2" s="1"/>
  <c r="G161" i="3"/>
  <c r="F161" i="3"/>
  <c r="D115" i="3"/>
  <c r="D116" i="3" s="1"/>
  <c r="D122" i="3" s="1"/>
  <c r="D125" i="3" s="1"/>
  <c r="D114" i="3"/>
  <c r="E114" i="3"/>
  <c r="E115" i="3"/>
  <c r="E116" i="3" s="1"/>
  <c r="E122" i="3" s="1"/>
  <c r="E125" i="3" s="1"/>
  <c r="J9" i="1"/>
  <c r="J15" i="1" s="1"/>
  <c r="I15" i="1"/>
  <c r="F15" i="2" l="1"/>
  <c r="H14" i="2"/>
  <c r="J32" i="1"/>
  <c r="J17" i="2" s="1"/>
  <c r="J26" i="1"/>
  <c r="J12" i="2" s="1"/>
  <c r="J23" i="1"/>
  <c r="J11" i="2" s="1"/>
  <c r="J20" i="1"/>
  <c r="J10" i="2" s="1"/>
  <c r="J14" i="2" s="1"/>
  <c r="J16" i="1"/>
  <c r="J6" i="2" s="1"/>
  <c r="J5" i="2"/>
  <c r="J40" i="1"/>
  <c r="J23" i="2" s="1"/>
  <c r="I2" i="2"/>
  <c r="I111" i="3"/>
  <c r="J6" i="1"/>
  <c r="C27" i="2"/>
  <c r="C21" i="2"/>
  <c r="C32" i="2"/>
  <c r="C34" i="2" s="1"/>
  <c r="G15" i="2"/>
  <c r="G8" i="2"/>
  <c r="H112" i="3"/>
  <c r="H7" i="2"/>
  <c r="G120" i="3"/>
  <c r="G121" i="3" s="1"/>
  <c r="G119" i="3"/>
  <c r="I32" i="1"/>
  <c r="I17" i="2" s="1"/>
  <c r="I23" i="1"/>
  <c r="I11" i="2" s="1"/>
  <c r="I16" i="1"/>
  <c r="I6" i="2" s="1"/>
  <c r="I26" i="1"/>
  <c r="I12" i="2" s="1"/>
  <c r="I20" i="1"/>
  <c r="I10" i="2" s="1"/>
  <c r="I5" i="2"/>
  <c r="I40" i="1"/>
  <c r="I23" i="2" s="1"/>
  <c r="H33" i="2"/>
  <c r="H117" i="3"/>
  <c r="F24" i="2" l="1"/>
  <c r="F25" i="2" s="1"/>
  <c r="F16" i="2"/>
  <c r="F18" i="2"/>
  <c r="F19" i="2" s="1"/>
  <c r="F20" i="2" s="1"/>
  <c r="F32" i="2" s="1"/>
  <c r="F34" i="2" s="1"/>
  <c r="F113" i="3"/>
  <c r="F21" i="2"/>
  <c r="K118" i="3"/>
  <c r="J33" i="2"/>
  <c r="J117" i="3"/>
  <c r="J7" i="2"/>
  <c r="J112" i="3"/>
  <c r="H15" i="2"/>
  <c r="H8" i="2"/>
  <c r="G113" i="3"/>
  <c r="G18" i="2"/>
  <c r="G16" i="2"/>
  <c r="G24" i="2"/>
  <c r="G25" i="2" s="1"/>
  <c r="I33" i="2"/>
  <c r="I117" i="3"/>
  <c r="I14" i="2"/>
  <c r="I7" i="2"/>
  <c r="I112" i="3"/>
  <c r="H120" i="3"/>
  <c r="H121" i="3" s="1"/>
  <c r="H119" i="3"/>
  <c r="J2" i="2"/>
  <c r="J111" i="3"/>
  <c r="F115" i="3" l="1"/>
  <c r="F116" i="3" s="1"/>
  <c r="F122" i="3" s="1"/>
  <c r="F125" i="3" s="1"/>
  <c r="F114" i="3"/>
  <c r="J15" i="2"/>
  <c r="J8" i="2"/>
  <c r="J120" i="3"/>
  <c r="J119" i="3"/>
  <c r="K112" i="3"/>
  <c r="G115" i="3"/>
  <c r="G116" i="3" s="1"/>
  <c r="G122" i="3" s="1"/>
  <c r="G125" i="3" s="1"/>
  <c r="G114" i="3"/>
  <c r="I15" i="2"/>
  <c r="I8" i="2"/>
  <c r="G19" i="2"/>
  <c r="G20" i="2" s="1"/>
  <c r="I119" i="3"/>
  <c r="I120" i="3"/>
  <c r="I121" i="3" s="1"/>
  <c r="H113" i="3"/>
  <c r="H24" i="2"/>
  <c r="H25" i="2" s="1"/>
  <c r="H18" i="2"/>
  <c r="H16" i="2"/>
  <c r="F36" i="2"/>
  <c r="F37" i="2" s="1"/>
  <c r="G32" i="2" l="1"/>
  <c r="G34" i="2" s="1"/>
  <c r="G21" i="2"/>
  <c r="F38" i="2"/>
  <c r="G36" i="2"/>
  <c r="G37" i="2" s="1"/>
  <c r="K119" i="3"/>
  <c r="K117" i="3"/>
  <c r="K121" i="3"/>
  <c r="K120" i="3"/>
  <c r="H19" i="2"/>
  <c r="H20" i="2" s="1"/>
  <c r="I113" i="3"/>
  <c r="I24" i="2"/>
  <c r="I25" i="2" s="1"/>
  <c r="I18" i="2"/>
  <c r="I16" i="2"/>
  <c r="J121" i="3"/>
  <c r="H115" i="3"/>
  <c r="H116" i="3" s="1"/>
  <c r="H122" i="3" s="1"/>
  <c r="H114" i="3"/>
  <c r="J113" i="3"/>
  <c r="J24" i="2"/>
  <c r="J25" i="2" s="1"/>
  <c r="J18" i="2"/>
  <c r="J16" i="2"/>
  <c r="C106" i="3"/>
  <c r="H125" i="3" l="1"/>
  <c r="G38" i="2"/>
  <c r="H32" i="2"/>
  <c r="H34" i="2" s="1"/>
  <c r="H36" i="2" s="1"/>
  <c r="H37" i="2" s="1"/>
  <c r="H21" i="2"/>
  <c r="D150" i="3"/>
  <c r="J19" i="2"/>
  <c r="J20" i="2" s="1"/>
  <c r="K113" i="3"/>
  <c r="J115" i="3"/>
  <c r="J116" i="3" s="1"/>
  <c r="J122" i="3" s="1"/>
  <c r="J125" i="3" s="1"/>
  <c r="J114" i="3"/>
  <c r="I19" i="2"/>
  <c r="I20" i="2" s="1"/>
  <c r="I115" i="3"/>
  <c r="I116" i="3" s="1"/>
  <c r="I122" i="3" s="1"/>
  <c r="I114" i="3"/>
  <c r="I125" i="3" l="1"/>
  <c r="G153" i="3"/>
  <c r="E152" i="3"/>
  <c r="F143" i="3"/>
  <c r="D146" i="3"/>
  <c r="E146" i="3"/>
  <c r="G146" i="3"/>
  <c r="F144" i="3"/>
  <c r="H143" i="3"/>
  <c r="H155" i="3"/>
  <c r="G145" i="3"/>
  <c r="G152" i="3"/>
  <c r="H154" i="3"/>
  <c r="E153" i="3"/>
  <c r="E151" i="3"/>
  <c r="F145" i="3"/>
  <c r="E147" i="3"/>
  <c r="H144" i="3"/>
  <c r="G144" i="3"/>
  <c r="H145" i="3"/>
  <c r="H151" i="3"/>
  <c r="F154" i="3"/>
  <c r="E155" i="3"/>
  <c r="H146" i="3"/>
  <c r="E145" i="3"/>
  <c r="E154" i="3"/>
  <c r="D145" i="3"/>
  <c r="D147" i="3"/>
  <c r="G151" i="3"/>
  <c r="F155" i="3"/>
  <c r="G154" i="3"/>
  <c r="E144" i="3"/>
  <c r="E143" i="3"/>
  <c r="H153" i="3"/>
  <c r="D143" i="3"/>
  <c r="F153" i="3"/>
  <c r="F151" i="3"/>
  <c r="H147" i="3"/>
  <c r="G155" i="3"/>
  <c r="H152" i="3"/>
  <c r="F146" i="3"/>
  <c r="F147" i="3"/>
  <c r="D144" i="3"/>
  <c r="F152" i="3"/>
  <c r="G143" i="3"/>
  <c r="G147" i="3"/>
  <c r="J32" i="2"/>
  <c r="J34" i="2" s="1"/>
  <c r="J21" i="2"/>
  <c r="I32" i="2"/>
  <c r="I34" i="2" s="1"/>
  <c r="I21" i="2"/>
  <c r="H38" i="2"/>
  <c r="I36" i="2"/>
  <c r="I37" i="2" s="1"/>
  <c r="D155" i="3"/>
  <c r="D154" i="3"/>
  <c r="D151" i="3"/>
  <c r="D153" i="3"/>
  <c r="D152" i="3"/>
  <c r="C129" i="3"/>
  <c r="K115" i="3"/>
  <c r="K116" i="3" s="1"/>
  <c r="K122" i="3" s="1"/>
  <c r="C130" i="3" s="1"/>
  <c r="C131" i="3" s="1"/>
  <c r="C132" i="3" s="1"/>
  <c r="K114" i="3"/>
  <c r="I38" i="2" l="1"/>
  <c r="J36" i="2"/>
  <c r="J37" i="2" s="1"/>
  <c r="J38" i="2" s="1"/>
  <c r="C133" i="3"/>
  <c r="C160" i="3" l="1"/>
  <c r="C163" i="3" s="1"/>
  <c r="C134" i="3"/>
  <c r="C135" i="3"/>
  <c r="D160" i="3" l="1"/>
  <c r="C136" i="3"/>
  <c r="D163" i="3" l="1"/>
  <c r="G160" i="3"/>
  <c r="F160" i="3"/>
  <c r="G163" i="3" l="1"/>
  <c r="F163" i="3"/>
</calcChain>
</file>

<file path=xl/sharedStrings.xml><?xml version="1.0" encoding="utf-8"?>
<sst xmlns="http://schemas.openxmlformats.org/spreadsheetml/2006/main" count="391" uniqueCount="340">
  <si>
    <t>Компания</t>
  </si>
  <si>
    <t>Ozon Holdings PLC (Группа Ozon)</t>
  </si>
  <si>
    <t>Ссылка на отчётность</t>
  </si>
  <si>
    <t>https://ir.ozon.com/</t>
  </si>
  <si>
    <t>Примечание</t>
  </si>
  <si>
    <t>Источники данных: консолидированная финансовая отчётность Ozon Holdings PLC за 2021-2023 гг.</t>
  </si>
  <si>
    <t>Факт</t>
  </si>
  <si>
    <t>Прогноз</t>
  </si>
  <si>
    <t xml:space="preserve">МЕТОДОЛОГИЯ И ИСТОЧНИКИ.
1) ИСТОРИЧЕСКИЕ ДАННЫЕ (2021-2023, факт).
Выручка, себестоимость, операционные расходы по статьям (продажи и маркетинг, технологии и контент, общие и административные), неоперационный результат, налог на прибыль и амортизация взяты напрямую из консолидированного отчёта о прибыли или убытке Ozon Holdings PLC (аудированная отчётность по МСФО, прим. 4, 6-12). GMV, показатель оборота с учётом услуг, взят из пресс-релизов компании (corp.ozon.ru / ir.ozon.com), согласован с драйверной моделью операционных показателей Ozon.
2) ЛОГИКА ПРОГНОЗА (2024-2028).
Выручка строится как GMV x take rate (доля выручки в GMV) - упрощённая, но прозрачная модель монетизации маркетплейса. Рост GMV на 2024-2027 гг. переиспользует драйверы модели операционных показателей Ozon (рост числа активных покупателей x частота заказов x средний чек), 2028 г. - консервативная экстраполяция дальнейшего замедления роста рынка e-commerce РФ. Take rate снижался в 2021-2023 гг. (40,0% -&gt; 33,3% -&gt; 24,2%) по мере роста доли комиссионной модели (3P) в GMV; в прогнозе снижение продолжается, но замедляется и стабилизируется на уровне ~21% по мере роста вклада высокомаржинальной рекламы и финтех-сервисов в выручку.
Себестоимость и накладные расходы (продажи и маркетинг, технологии и контент, общие и административные) заданы как % от выручки: фактическая доля последовательно снижалась все три года (эффект операционного рычага при росте масштаба бизнеса) - в прогнозе тренд продолжается, но темп улучшения год от года снижается (экономика результата не может улучшаться бесконечно быстро).
Разовые статьи (убыток от пожара на складе и т.п.) в прогнозе не закладываются по определению.
3) НАЛОГ НА ПРИБЫЛЬ.
Особенность факта: несмотря на консолидированный убыток, Ozon платит небольшой налог на прибыль все три года (из-за прибыльных дочерних структур и невычитаемых расходов). Это сохранено в модели: пока прогнозная прибыль до налогообложения отрицательна, налог считается как минимальный % от выручки (на уровне факта 2023 г.); как только прибыль до налогообложения становится положительной (по модели - с 2027 г.), налог считается по стандартной ставке 20% (ст. 284 НК РФ).
4) ОТРИЦАТЕЛЬНЫЙ СОБСТВЕННЫЙ КАПИТАЛ У РЕАЛЬНОЙ КОМПАНИИ.
Баланс в данной модели не строится, важно: у Ozon уже на конец 2022-2023 гг. отрицательный собственный капитал (накопленный убыток превысил эмиссионный доход) - это подтверждённый факт отчётности, а не ошибка. Прогноз в этой модели показывает последовательное сокращение чистого убытка и первую прогнозную чистую прибыль с 2027 г., что согласуется с постепенным восстановлением капитала компании в реальности.
5) ДЕНЕЖНЫЙ ПОТОК.
На листе «Расчёты» приведён только укрупнённый операционный денежный поток и контроль минимального остатка денежных средств с добавлением финансирования при риске ухода в отрицательный остаток. </t>
  </si>
  <si>
    <t>Показатель</t>
  </si>
  <si>
    <t>Источник / комментарий</t>
  </si>
  <si>
    <t>1. ОБЪЁМ ПРОДАЖ И МОНЕТИЗАЦИЯ (ВЫРУЧКА)</t>
  </si>
  <si>
    <t>GMV, млрд руб. (оборот от продаж, включая услуги)</t>
  </si>
  <si>
    <t>corp.ozon.ru / ir.ozon.com — пресс-релизы Ozon Holdings PLC по итогам FY2021-FY2023;</t>
  </si>
  <si>
    <t>Рост GMV, % г/г (драйвер объёма продаж)</t>
  </si>
  <si>
    <t>Прогноз согласован с драйверами модели операционных показателей Ozon (рост числа активных покупателей x частота заказов x средний чек); 2028 г. — консервативная экстраполяция дальнейшего замедления роста рынка e-commerce РФ</t>
  </si>
  <si>
    <t>Take rate — доля выручки в GMV, % (драйвер цены/монетизации)</t>
  </si>
  <si>
    <t>Факт — расчёт от отчётности (Итого выручка / GMV); прогноз — постепенная стабилизация по мере роста доли рекламы и финтех-сервисов в структуре выручки</t>
  </si>
  <si>
    <t>2. ВЫРУЧКА И СЕБЕСТОИМОСТЬ</t>
  </si>
  <si>
    <t>Выручка (итого), млн руб.</t>
  </si>
  <si>
    <t>Консолидированная фин. отчётность Ozon, (за 2023, 2022, 2021 гг.)</t>
  </si>
  <si>
    <t>Себестоимость, млн руб.</t>
  </si>
  <si>
    <t>Консолидированная фин. отчётность Ozon</t>
  </si>
  <si>
    <t>Себестоимость, % от выручки (драйвер издержек)</t>
  </si>
  <si>
    <t>Факт — расчёт от отчётности; прогноз — постепенное снижение доли себестоимости по мере роста маржинальности услуг (маркетплейс, реклама, финтех) в структуре выручки</t>
  </si>
  <si>
    <t>3. НАКЛАДНЫЕ (ОПЕРАЦИОННЫЕ) РАСХОДЫ</t>
  </si>
  <si>
    <t>Продажи и маркетинг, млн руб.</t>
  </si>
  <si>
    <t>Продажи и маркетинг, % от выручки</t>
  </si>
  <si>
    <t>Факт — расчёт; прогноз — эффект операционного рычага при росте масштаба бизнеса</t>
  </si>
  <si>
    <t>Технологии и контент, млн руб.</t>
  </si>
  <si>
    <t>Технологии и контент, % от выручки</t>
  </si>
  <si>
    <t>Общие и административные, млн руб.</t>
  </si>
  <si>
    <t>Общие и административные, % от выручки</t>
  </si>
  <si>
    <t>Разовые/неоперационные статьи в опер. расходах (убыток от пожара на складе и пр.), млн руб.</t>
  </si>
  <si>
    <t>Консолидированная фин. отчётность Ozon, в прогнозе разовые статьи не закладываются по определению</t>
  </si>
  <si>
    <t>4. НЕОПЕРАЦИОННЫЕ СТАТЬИ И НАЛОГИ</t>
  </si>
  <si>
    <t>Неоперационные доходы/(расходы), нетто, млн руб. (проценты, ожид. кредитные убытки, курсовые разницы, доля в СП)</t>
  </si>
  <si>
    <t>Консолидированная фин. отчётность Ozon, (сумма всех неоперационных статей отчёта)</t>
  </si>
  <si>
    <t>Неоперационные доходы/(расходы), % от выручки</t>
  </si>
  <si>
    <t>Факт — расчёт; прогноз — постепенное снижение долговой/валютной нагрузки по мере приближения к операционной прибыльности</t>
  </si>
  <si>
    <t>Ставка налога на прибыль при прибыли до налогообложения &gt; 0, %</t>
  </si>
  <si>
    <t>Ст. 284 НК РФ — стандартная ставка налога на прибыль организаций в РФ</t>
  </si>
  <si>
    <t>Расход по налогу на прибыль, млн руб. (факт)</t>
  </si>
  <si>
    <t>Минимальный налог при убытке до налогообложения, % от выручки</t>
  </si>
  <si>
    <t>Факт — расчёт от факт. расхода по налогу: несмотря на консолидированный убыток, компания платит небольшой налог из-за прибыльных дочерних структур/невычитаемых расходов; в прогнозе ставка удерживается на уровне факта 2023 г.</t>
  </si>
  <si>
    <t>5. СПРАВОЧНО: АМОРТИЗАЦИЯ (ДЛЯ РАСЧЁТА EBITDA)</t>
  </si>
  <si>
    <t>Амортизация, млн руб.</t>
  </si>
  <si>
    <t>Консолидированная фин. отчётность Ozon, справочная информация</t>
  </si>
  <si>
    <t>Амортизация, % от выручки</t>
  </si>
  <si>
    <t>Факт — расчёт; прогноз — стабилизация по мере замедления темпа капитальных инвестиций в логистическую инфраструктуру относительно роста выручки</t>
  </si>
  <si>
    <t>6. ДЕНЕЖНЫЕ СРЕДСТВА (ДЛЯ КОНТРОЛЯ МИНИМАЛЬНОГО ОСТАТКА)</t>
  </si>
  <si>
    <t>Денежные средства и их эквиваленты на конец периода, млн руб. (факт)</t>
  </si>
  <si>
    <t>Консолидированная фин. отчётность Ozon (баланс)</t>
  </si>
  <si>
    <t>Минимальный допустимый остаток денежных средств, млн руб.</t>
  </si>
  <si>
    <t>Экспертное допущение: ориентир — около 1 месяца операционных расходов (маркетинг + технологии + G&amp;A) для обеспечения операционной устойчивости</t>
  </si>
  <si>
    <t>Показатель, млн руб.</t>
  </si>
  <si>
    <t>ОТЧЁТ О ПРИБЫЛЯХ И УБЫТКАХ</t>
  </si>
  <si>
    <t>Выручка</t>
  </si>
  <si>
    <t>Себестоимость</t>
  </si>
  <si>
    <t>Валовая прибыль/(убыток)</t>
  </si>
  <si>
    <t>Валовая маржа, %</t>
  </si>
  <si>
    <t>Продажи и маркетинг</t>
  </si>
  <si>
    <t>Технологии и контент</t>
  </si>
  <si>
    <t>Общие и административные</t>
  </si>
  <si>
    <t>Разовые и неоперационные статьи</t>
  </si>
  <si>
    <t>Итого операционные расходы</t>
  </si>
  <si>
    <t>Операционная прибыль/(убыток)</t>
  </si>
  <si>
    <t>Операционная маржа, %</t>
  </si>
  <si>
    <t>Неоперационные доходы/(расходы), нетто</t>
  </si>
  <si>
    <t>Прибыль/(убыток) до налогообложения</t>
  </si>
  <si>
    <t>Налог на прибыль</t>
  </si>
  <si>
    <t>Чистая прибыль/(убыток)</t>
  </si>
  <si>
    <t>Чистая маржа, %</t>
  </si>
  <si>
    <t>Справочно: амортизация</t>
  </si>
  <si>
    <t>Справочно: EBITDA</t>
  </si>
  <si>
    <t>Справочно: маржа EBITDA, %</t>
  </si>
  <si>
    <t>Проверка: факт. чистая прибыль по отчётности минус расчёт (должно быть 0)</t>
  </si>
  <si>
    <t>ОПЕРАЦИОННЫЙ ДЕНЕЖНЫЙ ПОТОК И ОСТАТОК ДЕНЕЖНЫХ СРЕДСТВ (ПО ЖЕЛАНИЮ)</t>
  </si>
  <si>
    <t xml:space="preserve">Инвестиционная и прочая балансовая часть не детализируется: нет надёжных источников по капзатратам и движению лизинга на прогнозный период. Ниже — укрупнённый операционный денежный поток и контроль минимального остатка денежных средств с добавлением финансирования при риске ухода в отрицательный остаток. </t>
  </si>
  <si>
    <t>+ Амортизация (неденежная статья)</t>
  </si>
  <si>
    <t>Операционный денежный поток (укрупнённо)</t>
  </si>
  <si>
    <t>Дополнительное краткосрочное финансирование (если остаток риск. упасть ниже минимума)</t>
  </si>
  <si>
    <t>Денежные средства на конец периода</t>
  </si>
  <si>
    <t>Проверка: остаток минус минимально допустимый (должно быть ≥ 0)</t>
  </si>
  <si>
    <t>ОЦЕНКА СТОИМОСТИ КОМПАНИИ OZON HOLDINGS PLC (ГРУППА OZON)</t>
  </si>
  <si>
    <t>Дата оценки</t>
  </si>
  <si>
    <t>31 декабря 2021 г.</t>
  </si>
  <si>
    <t>Единицы измерения</t>
  </si>
  <si>
    <t>млн руб., если не указано иное</t>
  </si>
  <si>
    <t>Применённые подходы</t>
  </si>
  <si>
    <t>затратный, сравнительный, доходный</t>
  </si>
  <si>
    <t>0. ИСХОДНЫЕ ДАННЫЕ НА ДАТУ ОЦЕНКИ (31.12.2021)</t>
  </si>
  <si>
    <t>Значение</t>
  </si>
  <si>
    <t>Денежные средства и их эквиваленты</t>
  </si>
  <si>
    <t>Консолидированная финансовая отчётность Ozon Holdings PLC по МСФО, отчёт о финансовом положении на 31.12.2021</t>
  </si>
  <si>
    <t>Краткосрочные финансовые вложения (банковские депозиты)</t>
  </si>
  <si>
    <t>Долгосрочные кредиты и займы</t>
  </si>
  <si>
    <t>Краткосрочные кредиты и займы</t>
  </si>
  <si>
    <t>Обязательства по аренде, долгосрочные (МСФО 16)</t>
  </si>
  <si>
    <t>Обязательства по аренде, краткосрочные (МСФО 16)</t>
  </si>
  <si>
    <t>Долг (Debt) — кредиты, займы и обязательства по аренде</t>
  </si>
  <si>
    <t>Сумма строк 11-14</t>
  </si>
  <si>
    <t>Чистый долг (Net Debt)</t>
  </si>
  <si>
    <t>Долг - денежные средства - краткосрочные финансовые вложения</t>
  </si>
  <si>
    <t>Цена одной ADS Ozon на закрытие торгов 31.12.2021, долл. США</t>
  </si>
  <si>
    <t>NASDAQ, тикер OZON (1 ADS = 1 обыкновенная акция)</t>
  </si>
  <si>
    <t>Количество акций в обращении на 31.12.2021, млн шт.</t>
  </si>
  <si>
    <t>Форма 20-F Ozon Holdings PLC за 2021 г.: 216 413 733 обыкновенных акции</t>
  </si>
  <si>
    <t>Официальный курс доллара США Банка России на 31.12.2021, руб.</t>
  </si>
  <si>
    <t>cbr.ru, официальные курсы валют на заданную дату</t>
  </si>
  <si>
    <t>Капитализация (рыночная стоимость Equity) на дату оценки</t>
  </si>
  <si>
    <t>Цена акции * количество акций * курс доллара</t>
  </si>
  <si>
    <t>Котировка акции, руб.</t>
  </si>
  <si>
    <t>Капитализация / количество акций — контроль пересчёта</t>
  </si>
  <si>
    <t>Рыночная стоимость компании (EV) = капитализация + чистый долг</t>
  </si>
  <si>
    <t>Строка 20 + строка 16</t>
  </si>
  <si>
    <t>1. ЗАТРАТНЫЙ ПОДХОД - МЕТОД СКОРРЕКТИРОВАННЫХ ЧИСТЫХ АКТИВОВ</t>
  </si>
  <si>
    <t>Статья баланса на 31.12.2021</t>
  </si>
  <si>
    <t>Корректировка и её обоснование</t>
  </si>
  <si>
    <t>Балансовая стоимость</t>
  </si>
  <si>
    <t>Корректировка</t>
  </si>
  <si>
    <t>Рыночная (скорректированная) стоимость</t>
  </si>
  <si>
    <t>Не корректируются</t>
  </si>
  <si>
    <t>Краткосрочные финансовые вложения</t>
  </si>
  <si>
    <t>Банковские депозиты, не корректируются</t>
  </si>
  <si>
    <t>Дебиторская задолженность</t>
  </si>
  <si>
    <t>Дополнительный резерв 5% под ожидаемые кредитные убытки: часть задолженности продавцов и партнёров при взыскании будет потеряна</t>
  </si>
  <si>
    <t>Запасы</t>
  </si>
  <si>
    <t>Прочие оборотные активы</t>
  </si>
  <si>
    <t>Оснований для корректировки нет</t>
  </si>
  <si>
    <t>Активы в форме права пользования (МСФО 16)</t>
  </si>
  <si>
    <t>Не корректируются: отражают арендованные склады и ПВЗ симметрично обязательствам по аренде в пассиве</t>
  </si>
  <si>
    <t>Основные средства</t>
  </si>
  <si>
    <t>Без независимой оценки объектов логистической инфраструктуры корректировка не вводится</t>
  </si>
  <si>
    <t>Прочие внеоборотные активы</t>
  </si>
  <si>
    <t>Активы</t>
  </si>
  <si>
    <t>Сумма строк 26-33</t>
  </si>
  <si>
    <t>Долгосрочные обязательства</t>
  </si>
  <si>
    <t>Кредиторская задолженность</t>
  </si>
  <si>
    <t>Прочие краткосрочные обязательства</t>
  </si>
  <si>
    <t>Обязательства</t>
  </si>
  <si>
    <t>Сумма строк 36-38</t>
  </si>
  <si>
    <t>Проверка: балансовые активы - балансовые обязательства - собственный капитал по отчётности (30 608) = 0</t>
  </si>
  <si>
    <t>Контроль сходимости баланса на дату оценки</t>
  </si>
  <si>
    <t>Акционерный капитал (Equity) - затратный подход</t>
  </si>
  <si>
    <t>Скорректированные активы (строка 34) - обязательства (строка 39)</t>
  </si>
  <si>
    <t>Стоимость компании (EV) = Equity + чистый долг</t>
  </si>
  <si>
    <t>Строка 41 + чистый долг (строка 16)</t>
  </si>
  <si>
    <t>2. СРАВНИТЕЛЬНЫЙ ПОДХОД - МЕТОД МУЛЬТИПЛИКАТОРОВ</t>
  </si>
  <si>
    <t>2.1. Отбор компаний-аналогов</t>
  </si>
  <si>
    <t>Кандидат</t>
  </si>
  <si>
    <t>Сектор, бизнес-модель, стадия развития и обоснование включения/исключения</t>
  </si>
  <si>
    <t>Страна / рынок</t>
  </si>
  <si>
    <t>GMV 2021, $ млрд</t>
  </si>
  <si>
    <t>Выручка 2021, $ млрд</t>
  </si>
  <si>
    <t>Использована</t>
  </si>
  <si>
    <t>Sea Limited (Shopee)</t>
  </si>
  <si>
    <t>Маркетплейс, преимущественно комиссионная модель, стадия быстрого роста и убытков — ближе всего к Ozon по стадии развития. Оговорка: в капитализацию входит игровой сегмент Garena, поэтому мультипликатор слегка завышен</t>
  </si>
  <si>
    <t>Юго-Восточная Азия</t>
  </si>
  <si>
    <t>Да</t>
  </si>
  <si>
    <t>MercadoLibre</t>
  </si>
  <si>
    <t>Доминирующий маркетплейс развивающегося рынка с собственной логистикой и финтех-сервисами — бизнес-модель наиболее близка к Ozon</t>
  </si>
  <si>
    <t>Латинская Америка</t>
  </si>
  <si>
    <t>Coupang</t>
  </si>
  <si>
    <t>Лидер e-commerce своей страны, преимущественно собственные продажи и собственная логистика, убыточен, IPO 2021 г. GMV не раскрывает, поэтому участвует только в расчёте EV/Выручка</t>
  </si>
  <si>
    <t>Южная Корея</t>
  </si>
  <si>
    <t>Allegro.eu</t>
  </si>
  <si>
    <t>Доминирующий маркетплейс своей страны, IPO 2020 г. — ближайший аналог по размеру национального рынка, доле площадки в стране и истории листинга</t>
  </si>
  <si>
    <t>Польша</t>
  </si>
  <si>
    <t>Amazon.com</t>
  </si>
  <si>
    <t>Исключена: иная структура бизнеса — значимая часть стоимости приходится на облачный сегмент AWS, а не на e-commerce; масштаб больше Ozon примерно в 80 раз, стадия зрелости другая</t>
  </si>
  <si>
    <t>США / глобально</t>
  </si>
  <si>
    <t>Нет</t>
  </si>
  <si>
    <t>JD.com</t>
  </si>
  <si>
    <t>Исключена: иная регуляторная среда — в 2021 г. китайские интернет-платформы находились под давлением регулятора, и их мультипликаторы отражают страновой фактор, а не экономику бизнеса; определение GMV несопоставимо широкое</t>
  </si>
  <si>
    <t>Китай</t>
  </si>
  <si>
    <t>X5 Retail Group, «Магнит»</t>
  </si>
  <si>
    <t>Исключены: продуктовый офлайн-ритейл собственными сетями, а не платформа; принципиально другая экономика и структура активов, EV/Выручка порядка 0,3-0,4х</t>
  </si>
  <si>
    <t>Россия</t>
  </si>
  <si>
    <t>Wildberries</t>
  </si>
  <si>
    <t>Исключена: ближайший конкурент Ozon по бизнес-модели и рынку, но компания непубличная — биржевых котировок и раскрываемой отчётности на дату оценки нет</t>
  </si>
  <si>
    <t>Отобраны четыре аналога. Российских публичных аналогов на дату оценки не существует: единственный сопоставимый по модели конкурент — Wildberries — непубличен, поэтому страновой фактор приходится учитывать не подбором аналогов, а дисконтом к мультипликаторам (строка ниже).</t>
  </si>
  <si>
    <t>2.2. Расчёт мультипликаторов по отобранным аналогам</t>
  </si>
  <si>
    <t>Компания-аналог</t>
  </si>
  <si>
    <t>Комментарий</t>
  </si>
  <si>
    <t>Капитализация на 31.12.2021, $ млрд</t>
  </si>
  <si>
    <t>Чистый долг, $ млрд</t>
  </si>
  <si>
    <t>EV, $ млрд</t>
  </si>
  <si>
    <t>EV / Выручка, х</t>
  </si>
  <si>
    <t>EV / GMV, х</t>
  </si>
  <si>
    <t>Take rate (выручка / GMV)</t>
  </si>
  <si>
    <t>Среднее</t>
  </si>
  <si>
    <t>Медиана</t>
  </si>
  <si>
    <t>Для расчёта используется медиана — она устойчива к выбросам по отдельной компании</t>
  </si>
  <si>
    <t>Ozon — фактические биржевые данные (справочно, в базу мультипликаторов не входит)</t>
  </si>
  <si>
    <t>Пересчёт показателей раздела 0 и модели в доллары США по курсу Банка России на 31.12.2021</t>
  </si>
  <si>
    <t>Источники: биржевые котировки и капитализация на 31.12.2021; выручка и GMV — годовая отчётность компаний за 2021 г.; чистый долг — по отчётности за 2021 г. с учётом обязательств по аренде, округлённо.</t>
  </si>
  <si>
    <t>2.3. Расчёт стоимости по сравнительному подходу</t>
  </si>
  <si>
    <t>Обоснование</t>
  </si>
  <si>
    <t>Медиана EV/GMV по аналогам, раскрывающим GMV (Sea, MercadoLibre, Allegro), х</t>
  </si>
  <si>
    <t>Медиана строк 61, 62, 64</t>
  </si>
  <si>
    <t>Страновой дисконт к мультипликаторам зарубежных аналогов, %</t>
  </si>
  <si>
    <t>Принят 40%. Основания: (1) повышенный страновой риск России — по данным А. Дамодарана на январь 2022 г. страновая премия сверх базовой премии зрелого рынка составляла около 3 п.п.; (2) российский рынок акций к концу 2021 г. торговался примерно по 9 прибылей, заметно ниже развивающихся рынков в целом; (3) низкая ликвидность бумаги и отсутствие дивидендов; (4) более высокая доля низкомаржинальных собственных продаж в GMV Ozon</t>
  </si>
  <si>
    <t>Мультипликатор EV/GMV для Ozon с учётом дисконта, х</t>
  </si>
  <si>
    <t>Строка 73 * (1 - строка 74)</t>
  </si>
  <si>
    <t>GMV Ozon за 2021 г., млн руб.</t>
  </si>
  <si>
    <t>Лист «Допущения», строка 9 (445,5 млрд руб.), переведено в млн руб.</t>
  </si>
  <si>
    <t>Вариант А: EV по медиане аналогов с учётом странового дисконта</t>
  </si>
  <si>
    <t>Строка 75 * строка 76</t>
  </si>
  <si>
    <t>Вариант Б: EV по ближайшему аналогу (Allegro, 1,00х) без дополнительного дисконта</t>
  </si>
  <si>
    <t>Allegro — маркетплейс развивающегося рынка Восточной Европы, его мультипликатор уже содержит страновую премию, сопоставимую по природе с российской</t>
  </si>
  <si>
    <t>Стоимость компании (EV) - сравнительный подход</t>
  </si>
  <si>
    <t>Среднее вариантов А и Б (строки 77-78)</t>
  </si>
  <si>
    <t>Акционерный капитал (Equity) = EV - чистый долг</t>
  </si>
  <si>
    <t>Строка 79 - чистый долг (строка 16)</t>
  </si>
  <si>
    <t>Проверка: подразумеваемый мультипликатор EV/Выручка для Ozon, х</t>
  </si>
  <si>
    <t>Строка 79 / выручка 2021 г. (лист «Расчёты»)</t>
  </si>
  <si>
    <t>Подразумеваемый EV/Выручка около 2,7х сопоставим с аналогом, у которого похожая доля собственных продаж (Coupang, 2,8х) — расчёт внутренне непротиворечив.</t>
  </si>
  <si>
    <t>2.4. Уровень стоимости: контроль и ликвидность</t>
  </si>
  <si>
    <t>3. ДОХОДНЫЙ ПОДХОД - ДИСКОНТИРОВАНИЕ ДЕНЕЖНОГО ПОТОКА (DCF, модель FCFF)</t>
  </si>
  <si>
    <t>3.1. Ставка дисконтирования (WACC)</t>
  </si>
  <si>
    <t>Параметр</t>
  </si>
  <si>
    <t>Источник / обоснование</t>
  </si>
  <si>
    <t>Безрисковая доходность (RFR), %</t>
  </si>
  <si>
    <t>Доходность рыночная (Rm), %</t>
  </si>
  <si>
    <t>Rm = безрисковая доходность + премия за риск вложения в акции (ERP) 7,0%. Источник ERP — А. Дамодаран, Country Default Spreads and Risk Premiums, январь 2022: базовая премия зрелого рынка 4,24% плюс страновая премия для России около 3 п.п. Принято 7,0%, а не 7,3%: часть суверенного риска уже заложена в доходность ОФЗ, и повышать премию сверх этого значило бы учесть страновой риск дважды</t>
  </si>
  <si>
    <t>Бета для Ozon (с учётом финансового рычага)</t>
  </si>
  <si>
    <t>Отраслевой ориентир А. Дамодарана для сегмента Retail (Online): бета порядка 1,2-1,4; принято 1,30. Собственная регрессия по котировкам Ozon ненадёжна — история торгов на дату оценки чуть больше года (IPO ноябрь 2020 г.)</t>
  </si>
  <si>
    <t>CoE - стоимость собственного капитала, %</t>
  </si>
  <si>
    <t>RFR + бета * (Rm - RFR)</t>
  </si>
  <si>
    <t>E/(D+E)</t>
  </si>
  <si>
    <t>Капитализация (строка 20) / (капитализация + долг, строка 15)</t>
  </si>
  <si>
    <t>D/(D+E)</t>
  </si>
  <si>
    <t>Долг (строка 15) / (капитализация + долг)</t>
  </si>
  <si>
    <t>(1 - T)</t>
  </si>
  <si>
    <t>Ставка налога на прибыль 20% (ст. 284 НК РФ), лист «Допущения», строка 35</t>
  </si>
  <si>
    <t>CoD - стоимость заёмного капитала, %</t>
  </si>
  <si>
    <t>Ориентир ставок корпоративного кредитования в России в конце 2021 г. при ключевой ставке 8,50%. Долларовый конвертируемый выпуск Ozon со ставкой 1,875% как ориентир не используется: он не отражает стоимость рублёвого долга</t>
  </si>
  <si>
    <t>WACC</t>
  </si>
  <si>
    <t>E/(D+E) * CoE + D/(D+E) * (1 - T) * CoD</t>
  </si>
  <si>
    <t>Веса структуры капитала взяты по рыночной стоимости: балансовый собственный капитал у Ozon мал (30,6 млрд руб.) и уже в 2022 г. становится отрицательным, поэтому балансовые веса дали бы бессмысленный результат. Налоговый щит по долгу учтён по стандартной формуле; следует иметь в виду, что у убыточной компании он в действительности откладывается накопленными налоговыми убытками, то есть реальная WACC несколько выше расчётной, а оценка — несколько ниже.</t>
  </si>
  <si>
    <t>3.2. Дополнительные предпосылки денежного потока</t>
  </si>
  <si>
    <t>Рост в постпрогнозном периоде (TGR), %</t>
  </si>
  <si>
    <t>Целевая инфляция Банка России 4% в год, то есть нулевой реальный рост. Консервативно для компании на растущем рынке e-commerce, но условие задачи прямо рекомендует для постпрогнозного потока не самые оптимистичные ожидания</t>
  </si>
  <si>
    <t>Нормализованная операционная маржа (EBIT) в постпрогнозном периоде, %</t>
  </si>
  <si>
    <t>По умолчанию равна марже последнего прогнозного года модели (2028 г.). Это осознанно консервативно: зрелые маркетплейсы работают с операционной маржой 5-10%. Чувствительность к этой предпосылке показана в разделе 3.5</t>
  </si>
  <si>
    <t>Норма чистого оборотного капитала (запасы + дебиторская - кредиторская задолженность) к выручке, %</t>
  </si>
  <si>
    <t>Факт 2021-2023 гг.: -31,6% / -19,3% / -28,7%; принято среднее за три года -26,5%. Отрицательный оборотный капитал — структурная особенность маркетплейса: расчёты с продавцами идут с отсрочкой, поэтому рост оборота высвобождает деньги, а не связывает их</t>
  </si>
  <si>
    <t>Ставка налога на прибыль (T), %</t>
  </si>
  <si>
    <t>Ст. 284 НК РФ, лист «Допущения», строка 35. Накопленные налоговые убытки в расчёте не используются, хотя в реальности они на несколько лет снизили бы платежи — ещё одно сознательное занижение оценки</t>
  </si>
  <si>
    <t>3.3. Расчёт свободного денежного потока фирмы (FCFF)</t>
  </si>
  <si>
    <t>TV (постпрогнозный нормализованный год)</t>
  </si>
  <si>
    <t>Лист «Расчёты», строка 5. В постпрогнозном году выручка нормализована на уровне последнего прогнозного года</t>
  </si>
  <si>
    <t>EBIT - операционная прибыль / (убыток)</t>
  </si>
  <si>
    <t>Лист «Расчёты», строка 15. В постпрогнозном году — выручка * нормализованная маржа (строка 106)</t>
  </si>
  <si>
    <t>EBIT / выручка</t>
  </si>
  <si>
    <t>Налог на прибыль с операционной прибыли (при EBIT &gt; 0)</t>
  </si>
  <si>
    <t>Налог считается от операционной прибыли, а не от прибыли до налогообложения: в модели FCFF проценты по долгу не вычитаются, стоимость долга учтена в WACC</t>
  </si>
  <si>
    <t>EBIT x (1 - T)</t>
  </si>
  <si>
    <t>Строка 113 + строка 115</t>
  </si>
  <si>
    <t>плюс Амортизация</t>
  </si>
  <si>
    <t>Лист «Расчёты», строка 23. В постпрогнозном году — норма амортизации 2028 г. от нормализованной выручки</t>
  </si>
  <si>
    <t>Норма капитальных затрат, % от выручки</t>
  </si>
  <si>
    <t>Норма задана экспертно с привязкой к амортизации модели: в начале прогноза капитальные затраты превышают амортизацию примерно в 1,4 раза (компания продолжает строить логистическую инфраструктуру), затем разрыв сокращается и к 2028 г. капитальные затраты сравниваются с амортизацией — стандартное условие корректного перехода в постпрогнозный период. Строительство арендованных мощностей сюда не входит: оно отражается через обязательства по аренде</t>
  </si>
  <si>
    <t>минус Капитальные затраты</t>
  </si>
  <si>
    <t>Выручка * норма капитальных затрат. В постпрогнозном году капитальные затраты равны амортизации — бизнес лишь поддерживает мощности</t>
  </si>
  <si>
    <t>Чистый оборотный капитал</t>
  </si>
  <si>
    <t>Факт на 31.12.2021: 26 362 + 6 611 - 89 273 = -56 300 (раздел 1). В прогнозе — норма из строки 107, умноженная на выручку</t>
  </si>
  <si>
    <t>минус Изменение оборотного капитала</t>
  </si>
  <si>
    <t>Прирост оборотного капитала — отток денег, сокращение — приток. У Ozon оборотный капитал отрицательный и с ростом выручки становится всё более отрицательным, поэтому статья даёт приток. В постпрогнозном году заложена инвестиция в оборотный капитал, необходимая для поддержания роста TGR: норма ЧОК * выручка * TGR</t>
  </si>
  <si>
    <t>FCFF - свободный денежный поток фирмы</t>
  </si>
  <si>
    <t>EBIT x (1 - T) + Амортизация - Капитальные затраты - Изменение оборотного капитала</t>
  </si>
  <si>
    <t>Период дисконтирования</t>
  </si>
  <si>
    <t>Дисконтирование на середину периода: денежный поток поступает равномерно в течение года. Постпрогнозная стоимость приводится с того же момента, что и поток последнего прогнозного года</t>
  </si>
  <si>
    <t>Фактор дисконтирования</t>
  </si>
  <si>
    <t>1 / (1 + WACC) в степени периода дисконтирования</t>
  </si>
  <si>
    <t>Дисконтированный FCFF</t>
  </si>
  <si>
    <t>FCFF * фактор дисконтирования</t>
  </si>
  <si>
    <t>3.4. Результат доходного подхода</t>
  </si>
  <si>
    <t>Расчёт</t>
  </si>
  <si>
    <t>Сумма дисконтированных FCFF прогнозного периода (2022-2028 гг.)</t>
  </si>
  <si>
    <t>Сумма строки 125 по столбцам D-J</t>
  </si>
  <si>
    <t>FCFF постпрогнозного (нормализованного) года</t>
  </si>
  <si>
    <t>Строка 122, столбец K</t>
  </si>
  <si>
    <t>Постпрогнозная стоимость (TV) по формуле Гордона</t>
  </si>
  <si>
    <t>FCFF нормализованного года * (1 + TGR) / (WACC - TGR)</t>
  </si>
  <si>
    <t>Дисконтированный TV</t>
  </si>
  <si>
    <t>Строка 131 * фактор дисконтирования постпрогнозного года (ячейка K124)</t>
  </si>
  <si>
    <t>Стоимость компании (EV) - доходный подход</t>
  </si>
  <si>
    <t>Строка 129 + строка 132</t>
  </si>
  <si>
    <t>Строка 133 - чистый долг (строка 16)</t>
  </si>
  <si>
    <t>Справочно: доля постпрогнозной стоимости в стоимости компании, %</t>
  </si>
  <si>
    <t>Строка 132 / строка 133</t>
  </si>
  <si>
    <t>Проверка: Equity по доходному подходу к фактической капитализации, х</t>
  </si>
  <si>
    <t>Строка 134 / строка 20</t>
  </si>
  <si>
    <t>3.5. Анализ чувствительности стоимости акционерного капитала (Equity), млн руб.</t>
  </si>
  <si>
    <t>Таблицы пересчитывают Equity целиком: дисконтированный поток прогнозного периода плюс постпрогнозная стоимость минус чистый долг. Строки — ставка дисконтирования WACC, столбцы — проверяемая предпосылка; выделенная ячейка соответствует базовому расчёту.</t>
  </si>
  <si>
    <t>Таблица 1. Equity при разных WACC (строки) и темпах роста в постпрогнозном периоде TGR (столбцы)</t>
  </si>
  <si>
    <t>WACC \ TGR</t>
  </si>
  <si>
    <t>Таблица 2. Equity при разных WACC (строки) и нормализованной операционной марже EBIT в постпрогнозном периоде (столбцы)</t>
  </si>
  <si>
    <t>WACC \ маржа</t>
  </si>
  <si>
    <t>Таблица 2 отвечает на главный вопрос самопроверки: расхождение с биржевой капитализацией объясняется не ошибкой расчёта, а предпосылкой о долгосрочной маржинальности. При нормализованной операционной марже 5% оценка Equity поднимается примерно до 385 млрд руб., при 6,5% — до 448 млрд руб., то есть практически до рыночной капитализации. Рынок в конце 2021 г. платил за Ozon исходя из того, что компания дойдёт до маржинальности зрелой площадки; базовый расчёт этого сознательно не предполагает.</t>
  </si>
  <si>
    <t>4. СВОДКА РЕЗУЛЬТАТОВ ОЦЕНКИ</t>
  </si>
  <si>
    <t>Метод</t>
  </si>
  <si>
    <t>Основание расчёта</t>
  </si>
  <si>
    <t>EV</t>
  </si>
  <si>
    <t>Equity</t>
  </si>
  <si>
    <t>Net Debt</t>
  </si>
  <si>
    <t>руб./акцию</t>
  </si>
  <si>
    <t>Equity к капитализации, х</t>
  </si>
  <si>
    <t>Вес</t>
  </si>
  <si>
    <t>Доходный (FCFF)</t>
  </si>
  <si>
    <t>Дисконтирование FCFF 2022-2028 гг. по WACC плюс постпрогнозная стоимость</t>
  </si>
  <si>
    <t>Сравнительный</t>
  </si>
  <si>
    <t>Мультипликатор EV/GMV компаний-аналогов с учётом странового дисконта</t>
  </si>
  <si>
    <t>Затратный</t>
  </si>
  <si>
    <t>Скорректированные чистые активы на 31.12.2021</t>
  </si>
  <si>
    <t>Итоговая стоимость</t>
  </si>
  <si>
    <t>Средневзвешенное трёх подходов по весам столбца H</t>
  </si>
  <si>
    <t>Справочно: биржевые данные на 31.12.2021</t>
  </si>
  <si>
    <t>Капитализация по цене закрытия ADS и чистый долг из раздела 0</t>
  </si>
  <si>
    <t>Веса выставлены по применимости подходов к этому бизнесу: доходному подходу 50% — он единственный связывает стоимость с тем, как компания зарабатывает деньги, а у Ozon вся стоимость в будущих потоках; сравнительному 40% — качественных прямых аналогов на российском рынке нет, а зарубежные требуют существенного странового дисконта, поэтому подход служит скорее проверкой; затратному 10% — он даёт только нижнюю границу и не видит нематериальных источников стоимости.</t>
  </si>
  <si>
    <t>5. ВЫВОДЫ</t>
  </si>
  <si>
    <t>1. Результаты трёх подходов (Equity): затратный — 27,6 млрд руб. (128 руб./акцию), доходный — 274,7 млрд руб. (1 269 руб./акцию), сравнительный — 501,4 млрд руб. (2 317 руб./акцию). Итоговая взвешенная оценка — 340,7 млрд руб., или 1 574 руб. за акцию. Фактическая капитализация Ozon на 31.12.2021 составляла 476,1 млрд руб., или 2 200 руб. за акцию. Соответствующие значения EV: 6,2 / 253,3 / 480,0 млрд руб. при итоговой 319,3 млрд руб. и биржевой 454,7 млрд руб.</t>
  </si>
  <si>
    <t>2. О разнице между EV и Equity. EV — стоимость всего бизнеса для всех, кто его финансирует, и для акционеров, и для кредиторов; Equity — только та часть, которая достаётся акционерам. Мостик между ними — чистый долг. У Ozon на дату оценки этот мостик работает в непривычную сторону: денежных средств и депозитов (126,0 млрд руб.) больше, чем всего долга вместе с обязательствами по аренде (104,6 млрд руб.), то есть чистый долг отрицательный (-21,4 млрд руб.). Поэтому Equity у Ozon больше EV на величину чистой денежной позиции: покупатель компании получил бы вместе с бизнесом «лишние» деньги на балансе. У компании с долговой нагрузкой ситуация обратная: чистый долг положительный, и Equity меньше EV.</t>
  </si>
  <si>
    <t>3. Затратный подход для Ozon неприменим как основной. Он оценивает имущество за вычетом обязательств и по определению не учитывает то, что и создаёт стоимость маркетплейса: платформу, бренд, технологии, логистическую сеть как работающую систему, 25,6 млн активных покупателей и базу продавцов. Результат — 27,6 млрд руб., около 6% капитализации, а EV падает до 6,2 млрд руб., потому что почти весь баланс компании — это деньги, а не операционные активы. Это ровно тот случай, когда затратный подход не позволяет полноценно учесть существующие в бизнесе нематериальные активы. Подход полезен только как нижняя граница стоимости.</t>
  </si>
  <si>
    <t>4. Сравнительный подход дал результат, наиболее близкий к рынку (501,4 млрд руб., 1,05 капитализации), и это одновременно его достоинство и его ограничение. Ключевое методическое решение — выбор мультипликатора. P/E и EV/EBITDA к убыточной компании неприменимы. EV/Выручка несопоставим между площадками из-за разной доли собственных продаж: у комиссионных площадок в выручку попадает только комиссия (take rate 12,8% у Allegro, 16,0% у Sea), у Ozon — 40,0%, а у компаний, торгующих преимущественно собственным товаром, — вся стоимость товара. Применение медианы EV/Выручка 8,75х дало бы EV около 1 559 млрд руб., втрое выше биржевой стоимости, — очевидно неверный результат. Поэтому базой взят EV/GMV — отраслевой мультипликатор, применимый к маркетплейсам: он измеряет оборот площадки независимо от способа монетизации. Ограничение подхода в том, что он переносит на Ozon оценку, которую рынок уже дал похожим компаниям, а результат почти целиком определяется выбранным страновым дисконтом (40%). Прямых российских аналогов нет: Wildberries непублична, а продуктовый офлайн-ритейл — принципиально другой бизнес.</t>
  </si>
  <si>
    <t>5. Доходный подход — наиболее показателен для Ozon, несмотря на то что его результат (274,7 млрд руб.) в 1,7 раза ниже биржевой капитализации. Он единственный отвечает на вопрос, за счёт чего именно возникает стоимость: 62% EV в расчёте приходится на постпрогнозный период, а компания на дату оценки убыточна (EBITDA -49,0 млрд руб. за 2021 г.). Вся стоимость Ozon находится в будущем, и подход, который явно прогнозирует это будущее — рост GMV, take rate, выход на положительную маржу, капитальные затраты и высвобождение оборотного капитала, — единственный позволяет проверить, какие допущения оправдывают ту или иную цену.</t>
  </si>
  <si>
    <t>6. Расхождение доходного подхода с рынком объяснимо и заложено сознательно. В постпрогнозном периоде принята операционная маржа 2,4% — уровень последнего года прогноза, тогда как зрелые маркетплейсы работают с маржой 5-10%; кроме того, не используются накопленные налоговые убытки. Анализ чувствительности показывает: при нормализованной марже 5% Equity поднимается до 385 млрд руб., при 6,5% — до 448 млрд руб., то есть практически до капитализации. Рынок в конце 2021 г. платил за Ozon исходя из того, что компания дойдёт до маржинальности зрелой площадки. Консервативный расчёт этого не предполагает — и именно поэтому даёт оценку ниже рынка, а не из-за вычислительной ошибки.</t>
  </si>
  <si>
    <t>7. Об уровне стоимости. Сравнительный подход опирается на биржевые котировки, то есть на сделки с миноритарными пакетами, и даёт неконтрольный ликвидный уровень стоимости. Доходный подход по модели FCFF оценивает потоки компании целиком и даёт контрольный уровень. При оценке 100%-ного пакета к результату сравнительного подхода следовало бы добавить премию за контроль (порядка 25-40%), но в этой работе она не применяется: результаты сопоставляются с биржевой капитализацией, которая сама является неконтрольным уровнем. Дисконт за ликвидность не нужен — акции Ozon свободно обращались на NASDAQ и Московской бирже.</t>
  </si>
  <si>
    <t>8. Итоговое суждение. Согласованная оценка при весах «доходный 50% / сравнительный 40% / затратный 10%» — 340,7 млрд руб. для Equity (1 574 руб. за акцию) и 319,3 млрд руб. для EV, при разумном диапазоне 275-501 млрд руб. Для компании на стадии быстрого роста с отрицательной прибылью правильнее ориентироваться на диапазон, а не на одну точку: результат доходного подхода меняется в полтора-два раза при изменении долгосрочной маржи на несколько процентных пунктов. Практический вывод: доходный подход — основной инструмент оценки Ozon, сравнительный — обязательная проверка его результата по рынку, затратный — только нижняя граница.</t>
  </si>
  <si>
    <t>Уценка 10% в собственных товарных запасах всегда есть неликвид и сезонные остатки, реализуемые ниже себестоимости</t>
  </si>
  <si>
    <t>Результат — около 28 млрд руб., примерно 6% фактической капитализации, а EV падает до 6 млрд руб., потому что почти весь баланс компании — это деньги (126,0 млрд руб.), а не операционные активы. Подход дополнительно занижен тем, что Ozon не признаёт отложенный налоговый актив по накопленным налоговым убыткам. По матрице применимости затратный подход не подходит обычному работающему бизнесу, так как не позволяет учесть НМА, — для платформенной компании это проявляется в максимальной степени. Вывод: это оценка «пола» — сколько стоит имущество, если бизнес остановить, — а не стоимости действующего бизнеса.</t>
  </si>
  <si>
    <t>Ozon на дату оценки убыточен (EBITDA за 2021 г. -49,0 млрд руб., чистый убыток -56,8 млрд руб.), поэтому мультипликаторы P/E и EV/EBITDA к нему неприменимы — знаменатель отрицательный. Остаются мультипликаторы к обороту: EV/Выручка и специальный отраслевой мультипликатор EV/GMV. Отбор аналогов проведён по критериям схожести: отрасль, бизнес-модель, география, размер, степень зрелости бизнеса.</t>
  </si>
  <si>
    <t>Приводятся и среднее, и медиана</t>
  </si>
  <si>
    <t>Почему основным выбран EV/GMV, а не EV/Выручка. Различия бизнес-модели и рентабельности являются критерием схожести, и здесь они решают всё: у площадки с комиссионной моделью в выручку попадает только комиссия (take rate 12,8% у Allegro, 16,0% у Sea), а у компании, которая сама закупает и перепродаёт товар, — вся стоимость товара (Coupang). Из-за этого EV/Выручка по выборке разлетается от 2,8х до 12,0х: применение медианы 8,75х к выручке Ozon дало бы EV около 1 559 млрд руб. — втрое больше биржевой стоимости компании, то есть заведомо неверный результат. GMV — общий знаменатель: он измеряет оборот площадки независимо от способа монетизации, поэтому за основу берётся EV/GMV. При этом take rate Ozon (40,0%) выше, чем у отобранных маркетплейсов, — доля низкомаржинальных собственных продаж в обороте больше, и это одна из причин дисконта.</t>
  </si>
  <si>
    <t>Мультипликаторы рассчитаны по биржевым котировкам, то есть по сделкам с миноритарными пакетами свободно обращающихся акций. Значит, результат сравнительного подхода получен на неконтрольном и ликвидном уровне стоимости. Доходный подход по модели FCFF оценивает денежные потоки компании целиком и даёт контрольный уровень. Для оценки 100%-ного пакета к результату сравнительного подхода следовало бы добавить премию за контроль (обратная величина к дисконту за миноритарный характер 20-30%), то есть ориентировочно +25-40%. В расчёте эта премия сознательно не применяется по двум причинам: цель самопроверки — сопоставить результат именно с биржевой капитализацией, которая тоже является неконтрольным уровнем, и добавление премии сделало бы это сравнение некорректным. Дисконт за ликвидность не применяется: акции Ozon свободно обращались на NASDAQ и Московской бирже.</t>
  </si>
  <si>
    <t>Для расчёта EV дисконтируется денежный поток, доступный всем инвесторам (FCFF), по ставке WACC; стоимость акционерного капитала получается вычитанием чистого долга. Формула: FCFF = EBIT x (1 - T) + Амортизация - Изменение оборотного капитала - Капитальные затраты. Модель FCFF выбрана вместо FCFE потому, что в финансовой модели не прогнозируется график привлечения и погашения заёмных средств, а структура финансирования у растущей компании нестабильна. Прогнозный период — 2022-2028 гг., то есть весь горизонт модели, считая от даты оценки; далее применяется формула Гордона.</t>
  </si>
  <si>
    <t>Доходность 10-летних ОФЗ на 31.12.2021 по кривой бескупонной доходности государственных облигаций Банка России (cbr.ru). Для справки: ключевая ставка Банка России на дату оценки — 8,50%. Ставка рублёвая, поэтому весь расчёт ведётся в рублях и пересчёт ставки из долларов не требуется</t>
  </si>
  <si>
    <t>Доходный подход даёт около 275 млрд руб. — в 1,7 раза ниже биржевой капитализации, то есть расхождение укладывается в двукратный ориентир. Причина расхождения заложена сознательно: в постпрогнозном периоде принята операционная маржа 2,4% — уровень последнего года прогноза, тогда как рынок в конце 2021 г. закладывал выход Ozon на маржинальность зрелых маркетплейсов. Также не используются накопленные налоговые убытки. 62% стоимости приходится на постпрогнозный период — это нормально для компании, которая на дату оценки убыточна: вся её стоимость находится в будущем, и именно поэтому доходный подход так чувствителен к предпосылкам. Отдельная оговорка по постпрогнозному году: в упрощённых моделях изменение оборотного капитала в колонке TV обнуляют. Если сделать так же, то есть отказаться от притока от роста отрицательного оборотного капитала, Equity составит около 219 млрд руб. Здесь заложен экономически корректный вариант: при вечном росте на TGR оборотный капитал обязан масштабироваться вместе с выручкой.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</si>
</sst>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000"/>
    <numFmt numFmtId="167" formatCode="0.0"/>
    <numFmt numFmtId="168" formatCode="0.0000"/>
  </numFmts>
  <fonts count="5" x14ac:knownFonts="1">
    <font>
      <sz val="11"/>
      <color theme="1"/>
      <name val="Calibri"/>
      <family val="2"/>
      <scheme val="minor"/>
    </font>
    <font>
      <sz val="10"/>
      <name val="Arial"/>
    </font>
    <font>
      <b/>
      <sz val="10"/>
      <name val="Arial"/>
    </font>
    <font>
      <i/>
      <sz val="9"/>
      <name val="Arial"/>
    </font>
    <font>
      <i/>
      <sz val="9"/>
      <name val="Arial"/>
      <family val="2"/>
      <charset val="204"/>
    </font>
  </fonts>
  <fills count="6">
    <fill>
      <patternFill patternType="none"/>
    </fill>
    <fill>
      <patternFill patternType="gray125"/>
    </fill>
    <fill>
      <patternFill patternType="solid">
        <fgColor rgb="FFBFBFBF"/>
      </patternFill>
    </fill>
    <fill>
      <patternFill patternType="solid">
        <fgColor rgb="FFADB9CA"/>
      </patternFill>
    </fill>
    <fill>
      <patternFill patternType="solid">
        <fgColor rgb="FFD6DCE4"/>
      </patternFill>
    </fill>
    <fill>
      <patternFill patternType="solid">
        <fgColor rgb="FFF2F2F2"/>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xf numFmtId="0" fontId="1" fillId="0" borderId="0" xfId="0" applyFont="1" applyAlignment="1">
      <alignment vertical="top" wrapText="1"/>
    </xf>
    <xf numFmtId="0" fontId="2" fillId="2" borderId="0" xfId="0" applyFont="1" applyFill="1" applyAlignment="1">
      <alignment horizontal="center" vertical="top"/>
    </xf>
    <xf numFmtId="0" fontId="2" fillId="2" borderId="0" xfId="0" applyFont="1" applyFill="1"/>
    <xf numFmtId="164" fontId="1" fillId="0" borderId="0" xfId="0" applyNumberFormat="1" applyFont="1"/>
    <xf numFmtId="165" fontId="1" fillId="0" borderId="0" xfId="0" applyNumberFormat="1" applyFont="1"/>
    <xf numFmtId="3" fontId="1" fillId="0" borderId="0" xfId="0" applyNumberFormat="1" applyFont="1"/>
    <xf numFmtId="9" fontId="1" fillId="0" borderId="0" xfId="0" applyNumberFormat="1" applyFont="1"/>
    <xf numFmtId="10" fontId="1" fillId="0" borderId="0" xfId="0" applyNumberFormat="1" applyFont="1"/>
    <xf numFmtId="0" fontId="2" fillId="0" borderId="0" xfId="0" applyFont="1" applyAlignment="1">
      <alignment vertical="top" wrapText="1"/>
    </xf>
    <xf numFmtId="3" fontId="2" fillId="0" borderId="0" xfId="0" applyNumberFormat="1" applyFont="1"/>
    <xf numFmtId="0" fontId="2" fillId="4" borderId="0" xfId="0" applyFont="1" applyFill="1" applyAlignment="1">
      <alignment vertical="top" wrapText="1"/>
    </xf>
    <xf numFmtId="3" fontId="2" fillId="4" borderId="0" xfId="0" applyNumberFormat="1" applyFont="1" applyFill="1"/>
    <xf numFmtId="0" fontId="2" fillId="5" borderId="0" xfId="0" applyFont="1" applyFill="1" applyAlignment="1">
      <alignment vertical="top" wrapText="1"/>
    </xf>
    <xf numFmtId="3" fontId="2" fillId="5" borderId="0" xfId="0" applyNumberFormat="1" applyFont="1" applyFill="1"/>
    <xf numFmtId="0" fontId="0" fillId="0" borderId="0" xfId="0"/>
    <xf numFmtId="0" fontId="3" fillId="0" borderId="0" xfId="0" applyFont="1" applyAlignment="1">
      <alignment vertical="top" wrapText="1"/>
    </xf>
    <xf numFmtId="0" fontId="2" fillId="2" borderId="0" xfId="0" applyFont="1" applyFill="1" applyAlignment="1">
      <alignment vertical="center" wrapText="1"/>
    </xf>
    <xf numFmtId="0" fontId="2" fillId="2" borderId="0" xfId="0" applyFont="1" applyFill="1" applyAlignment="1">
      <alignment horizontal="center" vertical="center" wrapText="1"/>
    </xf>
    <xf numFmtId="4" fontId="1" fillId="0" borderId="0" xfId="0" applyNumberFormat="1" applyFont="1"/>
    <xf numFmtId="166" fontId="1" fillId="0" borderId="0" xfId="0" applyNumberFormat="1" applyFont="1"/>
    <xf numFmtId="0" fontId="2" fillId="4" borderId="0" xfId="0" applyFont="1" applyFill="1"/>
    <xf numFmtId="4" fontId="1" fillId="0" borderId="0" xfId="0" applyNumberFormat="1" applyFont="1" applyAlignment="1">
      <alignment horizontal="center" vertical="top"/>
    </xf>
    <xf numFmtId="4" fontId="2" fillId="4" borderId="0" xfId="0" applyNumberFormat="1" applyFont="1" applyFill="1"/>
    <xf numFmtId="2" fontId="1" fillId="0" borderId="0" xfId="0" applyNumberFormat="1" applyFont="1"/>
    <xf numFmtId="165" fontId="2" fillId="4" borderId="0" xfId="0" applyNumberFormat="1" applyFont="1" applyFill="1"/>
    <xf numFmtId="1" fontId="2" fillId="2" borderId="0" xfId="0" applyNumberFormat="1" applyFont="1" applyFill="1" applyAlignment="1">
      <alignment horizontal="center" vertical="center" wrapText="1"/>
    </xf>
    <xf numFmtId="167" fontId="1" fillId="0" borderId="0" xfId="0" applyNumberFormat="1" applyFont="1"/>
    <xf numFmtId="168" fontId="1" fillId="0" borderId="0" xfId="0" applyNumberFormat="1" applyFont="1"/>
    <xf numFmtId="0" fontId="2" fillId="0" borderId="0" xfId="0" applyFont="1"/>
    <xf numFmtId="165" fontId="2" fillId="2" borderId="0" xfId="0" applyNumberFormat="1" applyFont="1" applyFill="1" applyAlignment="1">
      <alignment horizontal="center" vertical="center" wrapText="1"/>
    </xf>
    <xf numFmtId="165" fontId="2" fillId="2" borderId="0" xfId="0" applyNumberFormat="1" applyFont="1" applyFill="1"/>
    <xf numFmtId="164" fontId="2" fillId="4" borderId="0" xfId="0" applyNumberFormat="1" applyFont="1" applyFill="1"/>
    <xf numFmtId="2" fontId="2" fillId="4" borderId="0" xfId="0" applyNumberFormat="1" applyFont="1" applyFill="1"/>
    <xf numFmtId="0" fontId="3" fillId="0" borderId="0" xfId="0" applyFont="1" applyAlignment="1">
      <alignment vertical="top" wrapText="1"/>
    </xf>
    <xf numFmtId="0" fontId="2" fillId="3" borderId="0" xfId="0" applyFont="1" applyFill="1"/>
    <xf numFmtId="0" fontId="0" fillId="0" borderId="0" xfId="0"/>
    <xf numFmtId="0" fontId="4" fillId="0" borderId="1" xfId="0" applyFont="1" applyBorder="1" applyAlignment="1">
      <alignment horizontal="justify" vertical="top" wrapText="1"/>
    </xf>
    <xf numFmtId="0" fontId="0" fillId="0" borderId="2" xfId="0" applyBorder="1"/>
    <xf numFmtId="0" fontId="0" fillId="0" borderId="4" xfId="0" applyBorder="1"/>
    <xf numFmtId="0" fontId="0" fillId="0" borderId="3"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0" xfId="0" applyFont="1" applyAlignment="1">
      <alignment vertical="top" wrapText="1"/>
    </xf>
    <xf numFmtId="0" fontId="3" fillId="0" borderId="0" xfId="0" applyFont="1" applyAlignment="1">
      <alignment horizontal="justify" vertical="top" wrapText="1"/>
    </xf>
    <xf numFmtId="0" fontId="2" fillId="4" borderId="0" xfId="0" applyFont="1" applyFill="1"/>
    <xf numFmtId="0" fontId="1" fillId="0" borderId="0" xfId="0" applyFont="1" applyAlignment="1">
      <alignment horizontal="justify" vertical="top" wrapText="1"/>
    </xf>
    <xf numFmtId="0" fontId="0" fillId="0" borderId="0" xfId="0" applyAlignment="1"/>
    <xf numFmtId="0" fontId="0" fillId="0" borderId="0" xfId="0" applyAlignment="1"/>
    <xf numFmtId="4" fontId="1" fillId="0" borderId="0" xfId="0" applyNumberFormat="1" applyFont="1" applyAlignment="1">
      <alignment horizontal="center" vertical="top" wrapText="1"/>
    </xf>
    <xf numFmtId="0" fontId="3" fillId="0" borderId="0" xfId="0" applyFont="1" applyAlignment="1">
      <alignment horizontal="justify"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showGridLines="0" zoomScale="130" zoomScaleNormal="130" workbookViewId="0">
      <pane xSplit="2" ySplit="6" topLeftCell="C7" activePane="bottomRight" state="frozen"/>
      <selection pane="topRight"/>
      <selection pane="bottomLeft"/>
      <selection pane="bottomRight" activeCell="H37" sqref="H37"/>
    </sheetView>
  </sheetViews>
  <sheetFormatPr defaultRowHeight="14.5" x14ac:dyDescent="0.35"/>
  <cols>
    <col min="1" max="1" width="46" style="16" customWidth="1"/>
    <col min="2" max="2" width="40" style="16" customWidth="1"/>
    <col min="3" max="10" width="11" style="16" customWidth="1"/>
    <col min="11" max="11" width="3" style="16" customWidth="1"/>
    <col min="12" max="15" width="20" style="16" customWidth="1"/>
  </cols>
  <sheetData>
    <row r="1" spans="1:15" x14ac:dyDescent="0.35">
      <c r="A1" s="1" t="s">
        <v>0</v>
      </c>
      <c r="B1" s="1" t="s">
        <v>1</v>
      </c>
    </row>
    <row r="2" spans="1:15" x14ac:dyDescent="0.35">
      <c r="A2" s="1" t="s">
        <v>2</v>
      </c>
      <c r="B2" s="1" t="s">
        <v>3</v>
      </c>
    </row>
    <row r="3" spans="1:15" ht="37.5" customHeight="1" x14ac:dyDescent="0.35">
      <c r="A3" s="1" t="s">
        <v>4</v>
      </c>
      <c r="B3" s="2" t="s">
        <v>5</v>
      </c>
    </row>
    <row r="5" spans="1:15" x14ac:dyDescent="0.35">
      <c r="A5" s="3"/>
      <c r="B5" s="3"/>
      <c r="C5" s="3" t="s">
        <v>6</v>
      </c>
      <c r="D5" s="3" t="s">
        <v>6</v>
      </c>
      <c r="E5" s="3" t="s">
        <v>6</v>
      </c>
      <c r="F5" s="3" t="s">
        <v>7</v>
      </c>
      <c r="G5" s="3" t="s">
        <v>7</v>
      </c>
      <c r="H5" s="3" t="s">
        <v>7</v>
      </c>
      <c r="I5" s="3" t="s">
        <v>7</v>
      </c>
      <c r="J5" s="3" t="s">
        <v>7</v>
      </c>
      <c r="L5" s="38" t="s">
        <v>8</v>
      </c>
      <c r="M5" s="39"/>
      <c r="N5" s="39"/>
      <c r="O5" s="40"/>
    </row>
    <row r="6" spans="1:15" x14ac:dyDescent="0.35">
      <c r="A6" s="4" t="s">
        <v>9</v>
      </c>
      <c r="B6" s="4" t="s">
        <v>10</v>
      </c>
      <c r="C6" s="3">
        <v>2021</v>
      </c>
      <c r="D6" s="3">
        <v>2022</v>
      </c>
      <c r="E6" s="3">
        <v>2023</v>
      </c>
      <c r="F6" s="3">
        <f>E6+1</f>
        <v>2024</v>
      </c>
      <c r="G6" s="3">
        <f>F6+1</f>
        <v>2025</v>
      </c>
      <c r="H6" s="3">
        <f>G6+1</f>
        <v>2026</v>
      </c>
      <c r="I6" s="3">
        <f>H6+1</f>
        <v>2027</v>
      </c>
      <c r="J6" s="3">
        <f>I6+1</f>
        <v>2028</v>
      </c>
      <c r="L6" s="41"/>
      <c r="M6" s="37"/>
      <c r="N6" s="37"/>
      <c r="O6" s="42"/>
    </row>
    <row r="7" spans="1:15" x14ac:dyDescent="0.35">
      <c r="L7" s="41"/>
      <c r="M7" s="37"/>
      <c r="N7" s="37"/>
      <c r="O7" s="42"/>
    </row>
    <row r="8" spans="1:15" x14ac:dyDescent="0.35">
      <c r="A8" s="36" t="s">
        <v>11</v>
      </c>
      <c r="B8" s="37"/>
      <c r="C8" s="37"/>
      <c r="D8" s="37"/>
      <c r="E8" s="37"/>
      <c r="F8" s="37"/>
      <c r="G8" s="37"/>
      <c r="H8" s="37"/>
      <c r="I8" s="37"/>
      <c r="J8" s="37"/>
      <c r="L8" s="41"/>
      <c r="M8" s="37"/>
      <c r="N8" s="37"/>
      <c r="O8" s="42"/>
    </row>
    <row r="9" spans="1:15" ht="24" customHeight="1" x14ac:dyDescent="0.35">
      <c r="A9" s="2" t="s">
        <v>12</v>
      </c>
      <c r="B9" s="17" t="s">
        <v>13</v>
      </c>
      <c r="C9" s="5">
        <v>445.5</v>
      </c>
      <c r="D9" s="5">
        <v>832.2</v>
      </c>
      <c r="E9" s="5">
        <v>1753</v>
      </c>
      <c r="F9" s="5">
        <f>E9*(1+F10)</f>
        <v>2664.56</v>
      </c>
      <c r="G9" s="5">
        <f>F9*(1+G10)</f>
        <v>3730.3839999999996</v>
      </c>
      <c r="H9" s="5">
        <f>G9*(1+H10)</f>
        <v>4886.8030399999998</v>
      </c>
      <c r="I9" s="5">
        <f>H9*(1+I10)</f>
        <v>6157.3718303999995</v>
      </c>
      <c r="J9" s="5">
        <f>I9*(1+J10)</f>
        <v>7388.846196479999</v>
      </c>
      <c r="L9" s="41"/>
      <c r="M9" s="37"/>
      <c r="N9" s="37"/>
      <c r="O9" s="42"/>
    </row>
    <row r="10" spans="1:15" ht="60" customHeight="1" x14ac:dyDescent="0.35">
      <c r="A10" s="2" t="s">
        <v>14</v>
      </c>
      <c r="B10" s="17" t="s">
        <v>15</v>
      </c>
      <c r="D10" s="6">
        <f>D9/C9-1</f>
        <v>0.86801346801346813</v>
      </c>
      <c r="E10" s="6">
        <f>E9/D9-1</f>
        <v>1.1064647921172792</v>
      </c>
      <c r="F10" s="6">
        <v>0.52</v>
      </c>
      <c r="G10" s="6">
        <v>0.4</v>
      </c>
      <c r="H10" s="6">
        <v>0.31</v>
      </c>
      <c r="I10" s="6">
        <v>0.26</v>
      </c>
      <c r="J10" s="6">
        <v>0.2</v>
      </c>
      <c r="L10" s="41"/>
      <c r="M10" s="37"/>
      <c r="N10" s="37"/>
      <c r="O10" s="42"/>
    </row>
    <row r="11" spans="1:15" x14ac:dyDescent="0.35">
      <c r="L11" s="41"/>
      <c r="M11" s="37"/>
      <c r="N11" s="37"/>
      <c r="O11" s="42"/>
    </row>
    <row r="12" spans="1:15" ht="48" customHeight="1" x14ac:dyDescent="0.35">
      <c r="A12" s="2" t="s">
        <v>16</v>
      </c>
      <c r="B12" s="17" t="s">
        <v>17</v>
      </c>
      <c r="C12" s="6">
        <f>C15/(C9*1000)</f>
        <v>0.40003367003367002</v>
      </c>
      <c r="D12" s="6">
        <f>D15/(D9*1000)</f>
        <v>0.3329908675799087</v>
      </c>
      <c r="E12" s="6">
        <f>E15/(E9*1000)</f>
        <v>0.24203707929264118</v>
      </c>
      <c r="F12" s="6">
        <v>0.23</v>
      </c>
      <c r="G12" s="6">
        <v>0.22</v>
      </c>
      <c r="H12" s="6">
        <v>0.215</v>
      </c>
      <c r="I12" s="6">
        <v>0.21199999999999999</v>
      </c>
      <c r="J12" s="6">
        <v>0.21</v>
      </c>
      <c r="L12" s="41"/>
      <c r="M12" s="37"/>
      <c r="N12" s="37"/>
      <c r="O12" s="42"/>
    </row>
    <row r="13" spans="1:15" x14ac:dyDescent="0.35">
      <c r="L13" s="41"/>
      <c r="M13" s="37"/>
      <c r="N13" s="37"/>
      <c r="O13" s="42"/>
    </row>
    <row r="14" spans="1:15" x14ac:dyDescent="0.35">
      <c r="A14" s="36" t="s">
        <v>18</v>
      </c>
      <c r="B14" s="37"/>
      <c r="C14" s="37"/>
      <c r="D14" s="37"/>
      <c r="E14" s="37"/>
      <c r="F14" s="37"/>
      <c r="G14" s="37"/>
      <c r="H14" s="37"/>
      <c r="I14" s="37"/>
      <c r="J14" s="37"/>
      <c r="L14" s="41"/>
      <c r="M14" s="37"/>
      <c r="N14" s="37"/>
      <c r="O14" s="42"/>
    </row>
    <row r="15" spans="1:15" ht="24" customHeight="1" x14ac:dyDescent="0.35">
      <c r="A15" s="2" t="s">
        <v>19</v>
      </c>
      <c r="B15" s="17" t="s">
        <v>20</v>
      </c>
      <c r="C15" s="7">
        <v>178215</v>
      </c>
      <c r="D15" s="7">
        <v>277115</v>
      </c>
      <c r="E15" s="7">
        <v>424291</v>
      </c>
      <c r="F15" s="7">
        <f>F9*1000*F12</f>
        <v>612848.80000000005</v>
      </c>
      <c r="G15" s="7">
        <f>G9*1000*G12</f>
        <v>820684.47999999986</v>
      </c>
      <c r="H15" s="7">
        <f>H9*1000*H12</f>
        <v>1050662.6536000001</v>
      </c>
      <c r="I15" s="7">
        <f>I9*1000*I12</f>
        <v>1305362.8280447999</v>
      </c>
      <c r="J15" s="7">
        <f>J9*1000*J12</f>
        <v>1551657.7012607995</v>
      </c>
      <c r="L15" s="41"/>
      <c r="M15" s="37"/>
      <c r="N15" s="37"/>
      <c r="O15" s="42"/>
    </row>
    <row r="16" spans="1:15" x14ac:dyDescent="0.35">
      <c r="A16" s="2" t="s">
        <v>21</v>
      </c>
      <c r="B16" s="17" t="s">
        <v>22</v>
      </c>
      <c r="C16" s="7">
        <v>-188827</v>
      </c>
      <c r="D16" s="7">
        <v>-244424</v>
      </c>
      <c r="E16" s="7">
        <v>-379849</v>
      </c>
      <c r="F16" s="7">
        <f>-F15*F17</f>
        <v>-536242.70000000007</v>
      </c>
      <c r="G16" s="7">
        <f>-G15*G17</f>
        <v>-705788.65279999992</v>
      </c>
      <c r="H16" s="7">
        <f>-H15*H17</f>
        <v>-893063.25556000008</v>
      </c>
      <c r="I16" s="7">
        <f>-I15*I17</f>
        <v>-1100420.8640417662</v>
      </c>
      <c r="J16" s="7">
        <f>-J15*J17</f>
        <v>-1300289.15365655</v>
      </c>
      <c r="L16" s="41"/>
      <c r="M16" s="37"/>
      <c r="N16" s="37"/>
      <c r="O16" s="42"/>
    </row>
    <row r="17" spans="1:15" ht="60" customHeight="1" x14ac:dyDescent="0.35">
      <c r="A17" s="2" t="s">
        <v>23</v>
      </c>
      <c r="B17" s="17" t="s">
        <v>24</v>
      </c>
      <c r="C17" s="6">
        <f>-C16/C15</f>
        <v>1.0595460539236317</v>
      </c>
      <c r="D17" s="6">
        <f>-D16/D15</f>
        <v>0.88203092578893239</v>
      </c>
      <c r="E17" s="6">
        <f>-E16/E15</f>
        <v>0.89525585034799227</v>
      </c>
      <c r="F17" s="6">
        <v>0.875</v>
      </c>
      <c r="G17" s="6">
        <v>0.86</v>
      </c>
      <c r="H17" s="6">
        <v>0.85</v>
      </c>
      <c r="I17" s="6">
        <v>0.84299999999999997</v>
      </c>
      <c r="J17" s="6">
        <v>0.83799999999999997</v>
      </c>
      <c r="L17" s="41"/>
      <c r="M17" s="37"/>
      <c r="N17" s="37"/>
      <c r="O17" s="42"/>
    </row>
    <row r="18" spans="1:15" x14ac:dyDescent="0.35">
      <c r="L18" s="41"/>
      <c r="M18" s="37"/>
      <c r="N18" s="37"/>
      <c r="O18" s="42"/>
    </row>
    <row r="19" spans="1:15" x14ac:dyDescent="0.35">
      <c r="A19" s="36" t="s">
        <v>25</v>
      </c>
      <c r="B19" s="37"/>
      <c r="C19" s="37"/>
      <c r="D19" s="37"/>
      <c r="E19" s="37"/>
      <c r="F19" s="37"/>
      <c r="G19" s="37"/>
      <c r="H19" s="37"/>
      <c r="I19" s="37"/>
      <c r="J19" s="37"/>
      <c r="L19" s="41"/>
      <c r="M19" s="37"/>
      <c r="N19" s="37"/>
      <c r="O19" s="42"/>
    </row>
    <row r="20" spans="1:15" x14ac:dyDescent="0.35">
      <c r="A20" s="2" t="s">
        <v>26</v>
      </c>
      <c r="B20" s="17" t="s">
        <v>22</v>
      </c>
      <c r="C20" s="7">
        <v>-24121</v>
      </c>
      <c r="D20" s="7">
        <v>-24642</v>
      </c>
      <c r="E20" s="7">
        <v>-30680</v>
      </c>
      <c r="F20" s="7">
        <f>-F15*F21</f>
        <v>-41673.718400000005</v>
      </c>
      <c r="G20" s="7">
        <f>-G15*G21</f>
        <v>-52523.806719999993</v>
      </c>
      <c r="H20" s="7">
        <f>-H15*H21</f>
        <v>-64090.421869600003</v>
      </c>
      <c r="I20" s="7">
        <f>-I15*I21</f>
        <v>-77016.406854643181</v>
      </c>
      <c r="J20" s="7">
        <f>-J15*J21</f>
        <v>-88444.488971865576</v>
      </c>
      <c r="L20" s="41"/>
      <c r="M20" s="37"/>
      <c r="N20" s="37"/>
      <c r="O20" s="42"/>
    </row>
    <row r="21" spans="1:15" ht="36" customHeight="1" x14ac:dyDescent="0.35">
      <c r="A21" s="2" t="s">
        <v>27</v>
      </c>
      <c r="B21" s="17" t="s">
        <v>28</v>
      </c>
      <c r="C21" s="6">
        <f>-C20/C15</f>
        <v>0.13534775411721797</v>
      </c>
      <c r="D21" s="6">
        <f>-D20/D15</f>
        <v>8.8923371163596346E-2</v>
      </c>
      <c r="E21" s="6">
        <f>-E20/E15</f>
        <v>7.2308863492272987E-2</v>
      </c>
      <c r="F21" s="6">
        <v>6.8000000000000005E-2</v>
      </c>
      <c r="G21" s="6">
        <v>6.4000000000000001E-2</v>
      </c>
      <c r="H21" s="6">
        <v>6.0999999999999999E-2</v>
      </c>
      <c r="I21" s="6">
        <v>5.8999999999999997E-2</v>
      </c>
      <c r="J21" s="6">
        <v>5.7000000000000002E-2</v>
      </c>
      <c r="L21" s="41"/>
      <c r="M21" s="37"/>
      <c r="N21" s="37"/>
      <c r="O21" s="42"/>
    </row>
    <row r="22" spans="1:15" x14ac:dyDescent="0.35">
      <c r="L22" s="41"/>
      <c r="M22" s="37"/>
      <c r="N22" s="37"/>
      <c r="O22" s="42"/>
    </row>
    <row r="23" spans="1:15" x14ac:dyDescent="0.35">
      <c r="A23" s="2" t="s">
        <v>29</v>
      </c>
      <c r="B23" s="17" t="s">
        <v>22</v>
      </c>
      <c r="C23" s="7">
        <v>-12583</v>
      </c>
      <c r="D23" s="7">
        <v>-22206</v>
      </c>
      <c r="E23" s="7">
        <v>-26862</v>
      </c>
      <c r="F23" s="7">
        <f>-F15*F24</f>
        <v>-36770.928</v>
      </c>
      <c r="G23" s="7">
        <f>-G15*G24</f>
        <v>-46779.015359999998</v>
      </c>
      <c r="H23" s="7">
        <f>-H15*H24</f>
        <v>-57786.445948000008</v>
      </c>
      <c r="I23" s="7">
        <f>-I15*I24</f>
        <v>-69184.229886374393</v>
      </c>
      <c r="J23" s="7">
        <f>-J15*J24</f>
        <v>-80686.200465561575</v>
      </c>
      <c r="L23" s="41"/>
      <c r="M23" s="37"/>
      <c r="N23" s="37"/>
      <c r="O23" s="42"/>
    </row>
    <row r="24" spans="1:15" ht="36" customHeight="1" x14ac:dyDescent="0.35">
      <c r="A24" s="2" t="s">
        <v>30</v>
      </c>
      <c r="B24" s="17" t="s">
        <v>28</v>
      </c>
      <c r="C24" s="6">
        <f>-C23/C15</f>
        <v>7.0605729035154163E-2</v>
      </c>
      <c r="D24" s="6">
        <f>-D23/D15</f>
        <v>8.0132796853291957E-2</v>
      </c>
      <c r="E24" s="6">
        <f>-E23/E15</f>
        <v>6.3310322396657015E-2</v>
      </c>
      <c r="F24" s="6">
        <v>0.06</v>
      </c>
      <c r="G24" s="6">
        <v>5.7000000000000002E-2</v>
      </c>
      <c r="H24" s="6">
        <v>5.5E-2</v>
      </c>
      <c r="I24" s="6">
        <v>5.2999999999999999E-2</v>
      </c>
      <c r="J24" s="6">
        <v>5.1999999999999998E-2</v>
      </c>
      <c r="L24" s="41"/>
      <c r="M24" s="37"/>
      <c r="N24" s="37"/>
      <c r="O24" s="42"/>
    </row>
    <row r="25" spans="1:15" x14ac:dyDescent="0.35">
      <c r="L25" s="41"/>
      <c r="M25" s="37"/>
      <c r="N25" s="37"/>
      <c r="O25" s="42"/>
    </row>
    <row r="26" spans="1:15" x14ac:dyDescent="0.35">
      <c r="A26" s="2" t="s">
        <v>31</v>
      </c>
      <c r="B26" s="17" t="s">
        <v>22</v>
      </c>
      <c r="C26" s="7">
        <v>-11540</v>
      </c>
      <c r="D26" s="7">
        <v>-19827</v>
      </c>
      <c r="E26" s="7">
        <v>-18881</v>
      </c>
      <c r="F26" s="7">
        <f>-F15*F27</f>
        <v>-24513.952000000001</v>
      </c>
      <c r="G26" s="7">
        <f>-G15*G27</f>
        <v>-29544.641279999993</v>
      </c>
      <c r="H26" s="7">
        <f>-H15*H27</f>
        <v>-34671.867568800008</v>
      </c>
      <c r="I26" s="7">
        <f>-I15*I27</f>
        <v>-40466.247669388795</v>
      </c>
      <c r="J26" s="7">
        <f>-J15*J27</f>
        <v>-44998.07333656319</v>
      </c>
      <c r="L26" s="41"/>
      <c r="M26" s="37"/>
      <c r="N26" s="37"/>
      <c r="O26" s="42"/>
    </row>
    <row r="27" spans="1:15" ht="36" customHeight="1" x14ac:dyDescent="0.35">
      <c r="A27" s="2" t="s">
        <v>32</v>
      </c>
      <c r="B27" s="17" t="s">
        <v>28</v>
      </c>
      <c r="C27" s="6">
        <f>-C26/C15</f>
        <v>6.4753247481974016E-2</v>
      </c>
      <c r="D27" s="6">
        <f>-D26/D15</f>
        <v>7.1547913321184348E-2</v>
      </c>
      <c r="E27" s="6">
        <f>-E26/E15</f>
        <v>4.4500119022086254E-2</v>
      </c>
      <c r="F27" s="6">
        <v>0.04</v>
      </c>
      <c r="G27" s="6">
        <v>3.5999999999999997E-2</v>
      </c>
      <c r="H27" s="6">
        <v>3.3000000000000002E-2</v>
      </c>
      <c r="I27" s="6">
        <v>3.1E-2</v>
      </c>
      <c r="J27" s="6">
        <v>2.9000000000000001E-2</v>
      </c>
      <c r="L27" s="41"/>
      <c r="M27" s="37"/>
      <c r="N27" s="37"/>
      <c r="O27" s="42"/>
    </row>
    <row r="28" spans="1:15" x14ac:dyDescent="0.35">
      <c r="L28" s="41"/>
      <c r="M28" s="37"/>
      <c r="N28" s="37"/>
      <c r="O28" s="42"/>
    </row>
    <row r="29" spans="1:15" ht="36" customHeight="1" x14ac:dyDescent="0.35">
      <c r="A29" s="2" t="s">
        <v>33</v>
      </c>
      <c r="B29" s="17" t="s">
        <v>34</v>
      </c>
      <c r="C29" s="7">
        <v>0</v>
      </c>
      <c r="D29" s="7">
        <v>-10165</v>
      </c>
      <c r="E29" s="7">
        <v>-774</v>
      </c>
      <c r="F29" s="7">
        <v>0</v>
      </c>
      <c r="G29" s="7">
        <v>0</v>
      </c>
      <c r="H29" s="7">
        <v>0</v>
      </c>
      <c r="I29" s="7">
        <v>0</v>
      </c>
      <c r="J29" s="7">
        <v>0</v>
      </c>
      <c r="L29" s="41"/>
      <c r="M29" s="37"/>
      <c r="N29" s="37"/>
      <c r="O29" s="42"/>
    </row>
    <row r="30" spans="1:15" x14ac:dyDescent="0.35">
      <c r="L30" s="41"/>
      <c r="M30" s="37"/>
      <c r="N30" s="37"/>
      <c r="O30" s="42"/>
    </row>
    <row r="31" spans="1:15" x14ac:dyDescent="0.35">
      <c r="A31" s="36" t="s">
        <v>35</v>
      </c>
      <c r="B31" s="37"/>
      <c r="C31" s="37"/>
      <c r="D31" s="37"/>
      <c r="E31" s="37"/>
      <c r="F31" s="37"/>
      <c r="G31" s="37"/>
      <c r="H31" s="37"/>
      <c r="I31" s="37"/>
      <c r="J31" s="37"/>
      <c r="L31" s="41"/>
      <c r="M31" s="37"/>
      <c r="N31" s="37"/>
      <c r="O31" s="42"/>
    </row>
    <row r="32" spans="1:15" ht="37.5" customHeight="1" x14ac:dyDescent="0.35">
      <c r="A32" s="2" t="s">
        <v>36</v>
      </c>
      <c r="B32" s="17" t="s">
        <v>37</v>
      </c>
      <c r="C32" s="7">
        <v>2079</v>
      </c>
      <c r="D32" s="7">
        <v>-13013</v>
      </c>
      <c r="E32" s="7">
        <v>-8243</v>
      </c>
      <c r="F32" s="7">
        <f>F15*F33</f>
        <v>-9192.732</v>
      </c>
      <c r="G32" s="7">
        <f>G15*G33</f>
        <v>-9848.2137599999987</v>
      </c>
      <c r="H32" s="7">
        <f>H15*H33</f>
        <v>-10506.626536000002</v>
      </c>
      <c r="I32" s="7">
        <f>I15*I33</f>
        <v>-10442.902624358399</v>
      </c>
      <c r="J32" s="7">
        <f>J15*J33</f>
        <v>-9309.9462075647971</v>
      </c>
      <c r="L32" s="41"/>
      <c r="M32" s="37"/>
      <c r="N32" s="37"/>
      <c r="O32" s="42"/>
    </row>
    <row r="33" spans="1:15" ht="36" customHeight="1" x14ac:dyDescent="0.35">
      <c r="A33" s="2" t="s">
        <v>38</v>
      </c>
      <c r="B33" s="17" t="s">
        <v>39</v>
      </c>
      <c r="C33" s="6">
        <f>C32/C15</f>
        <v>1.1665684706674522E-2</v>
      </c>
      <c r="D33" s="6">
        <f>D32/D15</f>
        <v>-4.6958843801309928E-2</v>
      </c>
      <c r="E33" s="6">
        <f>E32/E15</f>
        <v>-1.94277040993092E-2</v>
      </c>
      <c r="F33" s="6">
        <v>-1.4999999999999999E-2</v>
      </c>
      <c r="G33" s="6">
        <v>-1.2E-2</v>
      </c>
      <c r="H33" s="6">
        <v>-0.01</v>
      </c>
      <c r="I33" s="6">
        <v>-8.0000000000000002E-3</v>
      </c>
      <c r="J33" s="6">
        <v>-6.0000000000000001E-3</v>
      </c>
      <c r="L33" s="41"/>
      <c r="M33" s="37"/>
      <c r="N33" s="37"/>
      <c r="O33" s="42"/>
    </row>
    <row r="34" spans="1:15" x14ac:dyDescent="0.35">
      <c r="L34" s="41"/>
      <c r="M34" s="37"/>
      <c r="N34" s="37"/>
      <c r="O34" s="42"/>
    </row>
    <row r="35" spans="1:15" ht="25" customHeight="1" x14ac:dyDescent="0.35">
      <c r="A35" s="2" t="s">
        <v>40</v>
      </c>
      <c r="B35" s="17" t="s">
        <v>41</v>
      </c>
      <c r="C35" s="8">
        <v>0.2</v>
      </c>
      <c r="D35" s="8">
        <v>0.2</v>
      </c>
      <c r="E35" s="8">
        <v>0.2</v>
      </c>
      <c r="F35" s="8">
        <v>0.2</v>
      </c>
      <c r="G35" s="8">
        <v>0.2</v>
      </c>
      <c r="H35" s="8">
        <v>0.2</v>
      </c>
      <c r="I35" s="8">
        <v>0.2</v>
      </c>
      <c r="J35" s="8">
        <v>0.2</v>
      </c>
      <c r="L35" s="41"/>
      <c r="M35" s="37"/>
      <c r="N35" s="37"/>
      <c r="O35" s="42"/>
    </row>
    <row r="36" spans="1:15" x14ac:dyDescent="0.35">
      <c r="A36" s="2" t="s">
        <v>42</v>
      </c>
      <c r="B36" s="17" t="s">
        <v>22</v>
      </c>
      <c r="C36" s="7">
        <v>-2</v>
      </c>
      <c r="D36" s="7">
        <v>-1025</v>
      </c>
      <c r="E36" s="7">
        <v>-1667</v>
      </c>
      <c r="L36" s="41"/>
      <c r="M36" s="37"/>
      <c r="N36" s="37"/>
      <c r="O36" s="42"/>
    </row>
    <row r="37" spans="1:15" ht="72" customHeight="1" x14ac:dyDescent="0.35">
      <c r="A37" s="2" t="s">
        <v>43</v>
      </c>
      <c r="B37" s="17" t="s">
        <v>44</v>
      </c>
      <c r="C37" s="9">
        <f>-C36/C15</f>
        <v>1.1222399910220801E-5</v>
      </c>
      <c r="D37" s="9">
        <f>-D36/D15</f>
        <v>3.6988253973981922E-3</v>
      </c>
      <c r="E37" s="9">
        <f>-E36/E15</f>
        <v>3.9289072829732426E-3</v>
      </c>
      <c r="F37" s="9">
        <v>4.0000000000000001E-3</v>
      </c>
      <c r="G37" s="9">
        <v>4.0000000000000001E-3</v>
      </c>
      <c r="H37" s="9">
        <v>4.0000000000000001E-3</v>
      </c>
      <c r="I37" s="9">
        <v>4.0000000000000001E-3</v>
      </c>
      <c r="J37" s="9">
        <v>4.0000000000000001E-3</v>
      </c>
      <c r="L37" s="41"/>
      <c r="M37" s="37"/>
      <c r="N37" s="37"/>
      <c r="O37" s="42"/>
    </row>
    <row r="38" spans="1:15" x14ac:dyDescent="0.35">
      <c r="L38" s="41"/>
      <c r="M38" s="37"/>
      <c r="N38" s="37"/>
      <c r="O38" s="42"/>
    </row>
    <row r="39" spans="1:15" x14ac:dyDescent="0.35">
      <c r="A39" s="36" t="s">
        <v>45</v>
      </c>
      <c r="B39" s="37"/>
      <c r="C39" s="37"/>
      <c r="D39" s="37"/>
      <c r="E39" s="37"/>
      <c r="F39" s="37"/>
      <c r="G39" s="37"/>
      <c r="H39" s="37"/>
      <c r="I39" s="37"/>
      <c r="J39" s="37"/>
      <c r="L39" s="41"/>
      <c r="M39" s="37"/>
      <c r="N39" s="37"/>
      <c r="O39" s="42"/>
    </row>
    <row r="40" spans="1:15" ht="24" customHeight="1" x14ac:dyDescent="0.35">
      <c r="A40" s="2" t="s">
        <v>46</v>
      </c>
      <c r="B40" s="17" t="s">
        <v>47</v>
      </c>
      <c r="C40" s="7">
        <v>9880</v>
      </c>
      <c r="D40" s="7">
        <v>19770</v>
      </c>
      <c r="E40" s="7">
        <v>28082</v>
      </c>
      <c r="F40" s="7">
        <f>F15*F41</f>
        <v>39835.172000000006</v>
      </c>
      <c r="G40" s="7">
        <f>G15*G41</f>
        <v>51703.12223999999</v>
      </c>
      <c r="H40" s="7">
        <f>H15*H41</f>
        <v>64090.421869600003</v>
      </c>
      <c r="I40" s="7">
        <f>I15*I41</f>
        <v>78321.769682687984</v>
      </c>
      <c r="J40" s="7">
        <f>J15*J41</f>
        <v>91547.804374387168</v>
      </c>
      <c r="L40" s="41"/>
      <c r="M40" s="37"/>
      <c r="N40" s="37"/>
      <c r="O40" s="42"/>
    </row>
    <row r="41" spans="1:15" ht="48" customHeight="1" x14ac:dyDescent="0.35">
      <c r="A41" s="2" t="s">
        <v>48</v>
      </c>
      <c r="B41" s="17" t="s">
        <v>49</v>
      </c>
      <c r="C41" s="6">
        <f>C40/C15</f>
        <v>5.5438655556490753E-2</v>
      </c>
      <c r="D41" s="6">
        <f>D40/D15</f>
        <v>7.1342222542987568E-2</v>
      </c>
      <c r="E41" s="6">
        <f>E40/E15</f>
        <v>6.6185707450782602E-2</v>
      </c>
      <c r="F41" s="6">
        <v>6.5000000000000002E-2</v>
      </c>
      <c r="G41" s="6">
        <v>6.3E-2</v>
      </c>
      <c r="H41" s="6">
        <v>6.0999999999999999E-2</v>
      </c>
      <c r="I41" s="6">
        <v>0.06</v>
      </c>
      <c r="J41" s="6">
        <v>5.8999999999999997E-2</v>
      </c>
      <c r="L41" s="41"/>
      <c r="M41" s="37"/>
      <c r="N41" s="37"/>
      <c r="O41" s="42"/>
    </row>
    <row r="42" spans="1:15" x14ac:dyDescent="0.35">
      <c r="L42" s="43"/>
      <c r="M42" s="44"/>
      <c r="N42" s="44"/>
      <c r="O42" s="45"/>
    </row>
    <row r="43" spans="1:15" x14ac:dyDescent="0.35">
      <c r="A43" s="36" t="s">
        <v>50</v>
      </c>
      <c r="B43" s="37"/>
      <c r="C43" s="37"/>
      <c r="D43" s="37"/>
      <c r="E43" s="37"/>
      <c r="F43" s="37"/>
      <c r="G43" s="37"/>
      <c r="H43" s="37"/>
      <c r="I43" s="37"/>
      <c r="J43" s="37"/>
    </row>
    <row r="44" spans="1:15" ht="25" customHeight="1" x14ac:dyDescent="0.35">
      <c r="A44" s="2" t="s">
        <v>51</v>
      </c>
      <c r="B44" s="17" t="s">
        <v>52</v>
      </c>
      <c r="C44" s="7">
        <v>108037</v>
      </c>
      <c r="D44" s="7">
        <v>90469</v>
      </c>
      <c r="E44" s="7">
        <v>169814</v>
      </c>
    </row>
    <row r="45" spans="1:15" ht="48" customHeight="1" x14ac:dyDescent="0.35">
      <c r="A45" s="2" t="s">
        <v>53</v>
      </c>
      <c r="B45" s="17" t="s">
        <v>54</v>
      </c>
      <c r="C45" s="7">
        <v>5000</v>
      </c>
      <c r="D45" s="7">
        <v>5000</v>
      </c>
      <c r="E45" s="7">
        <v>5000</v>
      </c>
      <c r="F45" s="7">
        <v>5000</v>
      </c>
      <c r="G45" s="7">
        <v>5000</v>
      </c>
      <c r="H45" s="7">
        <v>5000</v>
      </c>
      <c r="I45" s="7">
        <v>5000</v>
      </c>
      <c r="J45" s="7">
        <v>5000</v>
      </c>
    </row>
  </sheetData>
  <mergeCells count="7">
    <mergeCell ref="A43:J43"/>
    <mergeCell ref="L5:O42"/>
    <mergeCell ref="A8:J8"/>
    <mergeCell ref="A31:J31"/>
    <mergeCell ref="A14:J14"/>
    <mergeCell ref="A39:J39"/>
    <mergeCell ref="A19:J19"/>
  </mergeCell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zoomScale="130" zoomScaleNormal="130" workbookViewId="0">
      <pane xSplit="2" ySplit="2" topLeftCell="C3" activePane="bottomRight" state="frozen"/>
      <selection sqref="A1:K1"/>
      <selection pane="topRight" sqref="A1:K1"/>
      <selection pane="bottomLeft" sqref="A1:K1"/>
      <selection pane="bottomRight" sqref="A1:K1"/>
    </sheetView>
  </sheetViews>
  <sheetFormatPr defaultRowHeight="14.5" x14ac:dyDescent="0.35"/>
  <cols>
    <col min="1" max="1" width="46" style="16" customWidth="1"/>
    <col min="2" max="2" width="30" style="16" customWidth="1"/>
    <col min="3" max="10" width="12" style="16" customWidth="1"/>
  </cols>
  <sheetData>
    <row r="1" spans="1:10" x14ac:dyDescent="0.35">
      <c r="A1" s="1"/>
      <c r="C1" s="3" t="s">
        <v>6</v>
      </c>
      <c r="D1" s="3" t="s">
        <v>6</v>
      </c>
      <c r="E1" s="3" t="s">
        <v>6</v>
      </c>
      <c r="F1" s="3" t="s">
        <v>7</v>
      </c>
      <c r="G1" s="3" t="s">
        <v>7</v>
      </c>
      <c r="H1" s="3" t="s">
        <v>7</v>
      </c>
      <c r="I1" s="3" t="s">
        <v>7</v>
      </c>
      <c r="J1" s="3" t="s">
        <v>7</v>
      </c>
    </row>
    <row r="2" spans="1:10" x14ac:dyDescent="0.35">
      <c r="A2" s="4" t="s">
        <v>55</v>
      </c>
      <c r="B2" s="4"/>
      <c r="C2" s="3">
        <f>Допущения!C6</f>
        <v>2021</v>
      </c>
      <c r="D2" s="3">
        <f>Допущения!D6</f>
        <v>2022</v>
      </c>
      <c r="E2" s="3">
        <f>Допущения!E6</f>
        <v>2023</v>
      </c>
      <c r="F2" s="3">
        <f>Допущения!F6</f>
        <v>2024</v>
      </c>
      <c r="G2" s="3">
        <f>Допущения!G6</f>
        <v>2025</v>
      </c>
      <c r="H2" s="3">
        <f>Допущения!H6</f>
        <v>2026</v>
      </c>
      <c r="I2" s="3">
        <f>Допущения!I6</f>
        <v>2027</v>
      </c>
      <c r="J2" s="3">
        <f>Допущения!J6</f>
        <v>2028</v>
      </c>
    </row>
    <row r="4" spans="1:10" x14ac:dyDescent="0.35">
      <c r="A4" s="36" t="s">
        <v>56</v>
      </c>
      <c r="B4" s="37"/>
      <c r="C4" s="37"/>
      <c r="D4" s="37"/>
      <c r="E4" s="37"/>
      <c r="F4" s="37"/>
      <c r="G4" s="37"/>
      <c r="H4" s="37"/>
      <c r="I4" s="37"/>
      <c r="J4" s="37"/>
    </row>
    <row r="5" spans="1:10" x14ac:dyDescent="0.35">
      <c r="A5" s="10" t="s">
        <v>57</v>
      </c>
      <c r="C5" s="11">
        <f>Допущения!C15</f>
        <v>178215</v>
      </c>
      <c r="D5" s="11">
        <f>Допущения!D15</f>
        <v>277115</v>
      </c>
      <c r="E5" s="11">
        <f>Допущения!E15</f>
        <v>424291</v>
      </c>
      <c r="F5" s="11">
        <f>Допущения!F15</f>
        <v>612848.80000000005</v>
      </c>
      <c r="G5" s="11">
        <f>Допущения!G15</f>
        <v>820684.47999999986</v>
      </c>
      <c r="H5" s="11">
        <f>Допущения!H15</f>
        <v>1050662.6536000001</v>
      </c>
      <c r="I5" s="11">
        <f>Допущения!I15</f>
        <v>1305362.8280447999</v>
      </c>
      <c r="J5" s="11">
        <f>Допущения!J15</f>
        <v>1551657.7012607995</v>
      </c>
    </row>
    <row r="6" spans="1:10" x14ac:dyDescent="0.35">
      <c r="A6" s="2" t="s">
        <v>58</v>
      </c>
      <c r="C6" s="7">
        <f>Допущения!C16</f>
        <v>-188827</v>
      </c>
      <c r="D6" s="7">
        <f>Допущения!D16</f>
        <v>-244424</v>
      </c>
      <c r="E6" s="7">
        <f>Допущения!E16</f>
        <v>-379849</v>
      </c>
      <c r="F6" s="7">
        <f>Допущения!F16</f>
        <v>-536242.70000000007</v>
      </c>
      <c r="G6" s="7">
        <f>Допущения!G16</f>
        <v>-705788.65279999992</v>
      </c>
      <c r="H6" s="7">
        <f>Допущения!H16</f>
        <v>-893063.25556000008</v>
      </c>
      <c r="I6" s="7">
        <f>Допущения!I16</f>
        <v>-1100420.8640417662</v>
      </c>
      <c r="J6" s="7">
        <f>Допущения!J16</f>
        <v>-1300289.15365655</v>
      </c>
    </row>
    <row r="7" spans="1:10" x14ac:dyDescent="0.35">
      <c r="A7" s="12" t="s">
        <v>59</v>
      </c>
      <c r="C7" s="13">
        <f t="shared" ref="C7:J7" si="0">C5+C6</f>
        <v>-10612</v>
      </c>
      <c r="D7" s="13">
        <f t="shared" si="0"/>
        <v>32691</v>
      </c>
      <c r="E7" s="13">
        <f t="shared" si="0"/>
        <v>44442</v>
      </c>
      <c r="F7" s="13">
        <f t="shared" si="0"/>
        <v>76606.099999999977</v>
      </c>
      <c r="G7" s="13">
        <f t="shared" si="0"/>
        <v>114895.82719999994</v>
      </c>
      <c r="H7" s="13">
        <f t="shared" si="0"/>
        <v>157599.39804</v>
      </c>
      <c r="I7" s="13">
        <f t="shared" si="0"/>
        <v>204941.9640030337</v>
      </c>
      <c r="J7" s="13">
        <f t="shared" si="0"/>
        <v>251368.54760424956</v>
      </c>
    </row>
    <row r="8" spans="1:10" x14ac:dyDescent="0.35">
      <c r="A8" s="2" t="s">
        <v>60</v>
      </c>
      <c r="C8" s="6">
        <f t="shared" ref="C8:J8" si="1">C7/C5</f>
        <v>-5.9546053923631569E-2</v>
      </c>
      <c r="D8" s="6">
        <f t="shared" si="1"/>
        <v>0.1179690742110676</v>
      </c>
      <c r="E8" s="6">
        <f t="shared" si="1"/>
        <v>0.10474414965200771</v>
      </c>
      <c r="F8" s="6">
        <f t="shared" si="1"/>
        <v>0.12499999999999996</v>
      </c>
      <c r="G8" s="6">
        <f t="shared" si="1"/>
        <v>0.13999999999999996</v>
      </c>
      <c r="H8" s="6">
        <f t="shared" si="1"/>
        <v>0.15</v>
      </c>
      <c r="I8" s="6">
        <f t="shared" si="1"/>
        <v>0.15700000000000008</v>
      </c>
      <c r="J8" s="6">
        <f t="shared" si="1"/>
        <v>0.16200000000000003</v>
      </c>
    </row>
    <row r="10" spans="1:10" x14ac:dyDescent="0.35">
      <c r="A10" s="2" t="s">
        <v>61</v>
      </c>
      <c r="C10" s="7">
        <f>Допущения!C20</f>
        <v>-24121</v>
      </c>
      <c r="D10" s="7">
        <f>Допущения!D20</f>
        <v>-24642</v>
      </c>
      <c r="E10" s="7">
        <f>Допущения!E20</f>
        <v>-30680</v>
      </c>
      <c r="F10" s="7">
        <f>Допущения!F20</f>
        <v>-41673.718400000005</v>
      </c>
      <c r="G10" s="7">
        <f>Допущения!G20</f>
        <v>-52523.806719999993</v>
      </c>
      <c r="H10" s="7">
        <f>Допущения!H20</f>
        <v>-64090.421869600003</v>
      </c>
      <c r="I10" s="7">
        <f>Допущения!I20</f>
        <v>-77016.406854643181</v>
      </c>
      <c r="J10" s="7">
        <f>Допущения!J20</f>
        <v>-88444.488971865576</v>
      </c>
    </row>
    <row r="11" spans="1:10" x14ac:dyDescent="0.35">
      <c r="A11" s="2" t="s">
        <v>62</v>
      </c>
      <c r="C11" s="7">
        <f>Допущения!C23</f>
        <v>-12583</v>
      </c>
      <c r="D11" s="7">
        <f>Допущения!D23</f>
        <v>-22206</v>
      </c>
      <c r="E11" s="7">
        <f>Допущения!E23</f>
        <v>-26862</v>
      </c>
      <c r="F11" s="7">
        <f>Допущения!F23</f>
        <v>-36770.928</v>
      </c>
      <c r="G11" s="7">
        <f>Допущения!G23</f>
        <v>-46779.015359999998</v>
      </c>
      <c r="H11" s="7">
        <f>Допущения!H23</f>
        <v>-57786.445948000008</v>
      </c>
      <c r="I11" s="7">
        <f>Допущения!I23</f>
        <v>-69184.229886374393</v>
      </c>
      <c r="J11" s="7">
        <f>Допущения!J23</f>
        <v>-80686.200465561575</v>
      </c>
    </row>
    <row r="12" spans="1:10" x14ac:dyDescent="0.35">
      <c r="A12" s="2" t="s">
        <v>63</v>
      </c>
      <c r="C12" s="7">
        <f>Допущения!C26</f>
        <v>-11540</v>
      </c>
      <c r="D12" s="7">
        <f>Допущения!D26</f>
        <v>-19827</v>
      </c>
      <c r="E12" s="7">
        <f>Допущения!E26</f>
        <v>-18881</v>
      </c>
      <c r="F12" s="7">
        <f>Допущения!F26</f>
        <v>-24513.952000000001</v>
      </c>
      <c r="G12" s="7">
        <f>Допущения!G26</f>
        <v>-29544.641279999993</v>
      </c>
      <c r="H12" s="7">
        <f>Допущения!H26</f>
        <v>-34671.867568800008</v>
      </c>
      <c r="I12" s="7">
        <f>Допущения!I26</f>
        <v>-40466.247669388795</v>
      </c>
      <c r="J12" s="7">
        <f>Допущения!J26</f>
        <v>-44998.07333656319</v>
      </c>
    </row>
    <row r="13" spans="1:10" x14ac:dyDescent="0.35">
      <c r="A13" s="2" t="s">
        <v>64</v>
      </c>
      <c r="C13" s="7">
        <f>Допущения!C29</f>
        <v>0</v>
      </c>
      <c r="D13" s="7">
        <f>Допущения!D29</f>
        <v>-10165</v>
      </c>
      <c r="E13" s="7">
        <f>Допущения!E29</f>
        <v>-774</v>
      </c>
      <c r="F13" s="7">
        <f>Допущения!F29</f>
        <v>0</v>
      </c>
      <c r="G13" s="7">
        <f>Допущения!G29</f>
        <v>0</v>
      </c>
      <c r="H13" s="7">
        <f>Допущения!H29</f>
        <v>0</v>
      </c>
      <c r="I13" s="7">
        <f>Допущения!I29</f>
        <v>0</v>
      </c>
      <c r="J13" s="7">
        <f>Допущения!J29</f>
        <v>0</v>
      </c>
    </row>
    <row r="14" spans="1:10" x14ac:dyDescent="0.35">
      <c r="A14" s="14" t="s">
        <v>65</v>
      </c>
      <c r="C14" s="15">
        <f t="shared" ref="C14:J14" si="2">SUM(C10:C13)</f>
        <v>-48244</v>
      </c>
      <c r="D14" s="15">
        <f t="shared" si="2"/>
        <v>-76840</v>
      </c>
      <c r="E14" s="15">
        <f t="shared" si="2"/>
        <v>-77197</v>
      </c>
      <c r="F14" s="15">
        <f t="shared" si="2"/>
        <v>-102958.5984</v>
      </c>
      <c r="G14" s="15">
        <f t="shared" si="2"/>
        <v>-128847.46335999998</v>
      </c>
      <c r="H14" s="15">
        <f t="shared" si="2"/>
        <v>-156548.73538640002</v>
      </c>
      <c r="I14" s="15">
        <f t="shared" si="2"/>
        <v>-186666.88441040638</v>
      </c>
      <c r="J14" s="15">
        <f t="shared" si="2"/>
        <v>-214128.76277399034</v>
      </c>
    </row>
    <row r="15" spans="1:10" x14ac:dyDescent="0.35">
      <c r="A15" s="12" t="s">
        <v>66</v>
      </c>
      <c r="C15" s="13">
        <f t="shared" ref="C15:J15" si="3">C7+C14</f>
        <v>-58856</v>
      </c>
      <c r="D15" s="13">
        <f t="shared" si="3"/>
        <v>-44149</v>
      </c>
      <c r="E15" s="13">
        <f t="shared" si="3"/>
        <v>-32755</v>
      </c>
      <c r="F15" s="13">
        <f t="shared" si="3"/>
        <v>-26352.498400000026</v>
      </c>
      <c r="G15" s="13">
        <f t="shared" si="3"/>
        <v>-13951.636160000038</v>
      </c>
      <c r="H15" s="13">
        <f t="shared" si="3"/>
        <v>1050.6626535999821</v>
      </c>
      <c r="I15" s="13">
        <f t="shared" si="3"/>
        <v>18275.079592627328</v>
      </c>
      <c r="J15" s="13">
        <f t="shared" si="3"/>
        <v>37239.784830259217</v>
      </c>
    </row>
    <row r="16" spans="1:10" x14ac:dyDescent="0.35">
      <c r="A16" s="2" t="s">
        <v>67</v>
      </c>
      <c r="C16" s="6">
        <f t="shared" ref="C16:J16" si="4">C15/C5</f>
        <v>-0.33025278455797774</v>
      </c>
      <c r="D16" s="6">
        <f t="shared" si="4"/>
        <v>-0.15931652923876369</v>
      </c>
      <c r="E16" s="6">
        <f t="shared" si="4"/>
        <v>-7.7199374957281672E-2</v>
      </c>
      <c r="F16" s="6">
        <f t="shared" si="4"/>
        <v>-4.3000000000000038E-2</v>
      </c>
      <c r="G16" s="6">
        <f t="shared" si="4"/>
        <v>-1.700000000000005E-2</v>
      </c>
      <c r="H16" s="6">
        <f t="shared" si="4"/>
        <v>9.9999999999998289E-4</v>
      </c>
      <c r="I16" s="6">
        <f t="shared" si="4"/>
        <v>1.4000000000000099E-2</v>
      </c>
      <c r="J16" s="6">
        <f t="shared" si="4"/>
        <v>2.4000000000000018E-2</v>
      </c>
    </row>
    <row r="17" spans="1:10" x14ac:dyDescent="0.35">
      <c r="A17" s="2" t="s">
        <v>68</v>
      </c>
      <c r="C17" s="7">
        <f>Допущения!C32</f>
        <v>2079</v>
      </c>
      <c r="D17" s="7">
        <f>Допущения!D32</f>
        <v>-13013</v>
      </c>
      <c r="E17" s="7">
        <f>Допущения!E32</f>
        <v>-8243</v>
      </c>
      <c r="F17" s="7">
        <f>Допущения!F32</f>
        <v>-9192.732</v>
      </c>
      <c r="G17" s="7">
        <f>Допущения!G32</f>
        <v>-9848.2137599999987</v>
      </c>
      <c r="H17" s="7">
        <f>Допущения!H32</f>
        <v>-10506.626536000002</v>
      </c>
      <c r="I17" s="7">
        <f>Допущения!I32</f>
        <v>-10442.902624358399</v>
      </c>
      <c r="J17" s="7">
        <f>Допущения!J32</f>
        <v>-9309.9462075647971</v>
      </c>
    </row>
    <row r="18" spans="1:10" x14ac:dyDescent="0.35">
      <c r="A18" s="12" t="s">
        <v>69</v>
      </c>
      <c r="C18" s="13">
        <f t="shared" ref="C18:J18" si="5">C15+C17</f>
        <v>-56777</v>
      </c>
      <c r="D18" s="13">
        <f t="shared" si="5"/>
        <v>-57162</v>
      </c>
      <c r="E18" s="13">
        <f t="shared" si="5"/>
        <v>-40998</v>
      </c>
      <c r="F18" s="13">
        <f t="shared" si="5"/>
        <v>-35545.230400000029</v>
      </c>
      <c r="G18" s="13">
        <f t="shared" si="5"/>
        <v>-23799.849920000037</v>
      </c>
      <c r="H18" s="13">
        <f t="shared" si="5"/>
        <v>-9455.9638824000194</v>
      </c>
      <c r="I18" s="13">
        <f t="shared" si="5"/>
        <v>7832.1769682689282</v>
      </c>
      <c r="J18" s="13">
        <f t="shared" si="5"/>
        <v>27929.83862269442</v>
      </c>
    </row>
    <row r="19" spans="1:10" x14ac:dyDescent="0.35">
      <c r="A19" s="2" t="s">
        <v>70</v>
      </c>
      <c r="B19" s="17"/>
      <c r="C19" s="7">
        <f>Допущения!C36</f>
        <v>-2</v>
      </c>
      <c r="D19" s="7">
        <f>Допущения!D36</f>
        <v>-1025</v>
      </c>
      <c r="E19" s="7">
        <f>Допущения!E36</f>
        <v>-1667</v>
      </c>
      <c r="F19" s="7">
        <f>IF(F18&gt;0,-F18*Допущения!F$35,-F5*Допущения!F$37)</f>
        <v>-2451.3952000000004</v>
      </c>
      <c r="G19" s="7">
        <f>IF(G18&gt;0,-G18*Допущения!G$35,-G5*Допущения!G$37)</f>
        <v>-3282.7379199999996</v>
      </c>
      <c r="H19" s="7">
        <f>IF(H18&gt;0,-H18*Допущения!H$35,-H5*Допущения!H$37)</f>
        <v>-4202.6506144000004</v>
      </c>
      <c r="I19" s="7">
        <f>IF(I18&gt;0,-I18*Допущения!I$35,-I5*Допущения!I$37)</f>
        <v>-1566.4353936537857</v>
      </c>
      <c r="J19" s="7">
        <f>IF(J18&gt;0,-J18*Допущения!J$35,-J5*Допущения!J$37)</f>
        <v>-5585.9677245388848</v>
      </c>
    </row>
    <row r="20" spans="1:10" x14ac:dyDescent="0.35">
      <c r="A20" s="12" t="s">
        <v>71</v>
      </c>
      <c r="C20" s="13">
        <f t="shared" ref="C20:J20" si="6">C18+C19</f>
        <v>-56779</v>
      </c>
      <c r="D20" s="13">
        <f t="shared" si="6"/>
        <v>-58187</v>
      </c>
      <c r="E20" s="13">
        <f t="shared" si="6"/>
        <v>-42665</v>
      </c>
      <c r="F20" s="13">
        <f t="shared" si="6"/>
        <v>-37996.625600000028</v>
      </c>
      <c r="G20" s="13">
        <f t="shared" si="6"/>
        <v>-27082.587840000037</v>
      </c>
      <c r="H20" s="13">
        <f t="shared" si="6"/>
        <v>-13658.614496800019</v>
      </c>
      <c r="I20" s="13">
        <f t="shared" si="6"/>
        <v>6265.7415746151428</v>
      </c>
      <c r="J20" s="13">
        <f t="shared" si="6"/>
        <v>22343.870898155536</v>
      </c>
    </row>
    <row r="21" spans="1:10" x14ac:dyDescent="0.35">
      <c r="A21" s="2" t="s">
        <v>72</v>
      </c>
      <c r="C21" s="6">
        <f t="shared" ref="C21:J21" si="7">C20/C5</f>
        <v>-0.31859832225121343</v>
      </c>
      <c r="D21" s="6">
        <f t="shared" si="7"/>
        <v>-0.20997419843747181</v>
      </c>
      <c r="E21" s="6">
        <f t="shared" si="7"/>
        <v>-0.10055598633956413</v>
      </c>
      <c r="F21" s="6">
        <f t="shared" si="7"/>
        <v>-6.2000000000000041E-2</v>
      </c>
      <c r="G21" s="6">
        <f t="shared" si="7"/>
        <v>-3.300000000000005E-2</v>
      </c>
      <c r="H21" s="6">
        <f t="shared" si="7"/>
        <v>-1.3000000000000017E-2</v>
      </c>
      <c r="I21" s="6">
        <f t="shared" si="7"/>
        <v>4.8000000000000794E-3</v>
      </c>
      <c r="J21" s="6">
        <f t="shared" si="7"/>
        <v>1.4400000000000013E-2</v>
      </c>
    </row>
    <row r="23" spans="1:10" x14ac:dyDescent="0.35">
      <c r="A23" s="2" t="s">
        <v>73</v>
      </c>
      <c r="C23" s="7">
        <f>Допущения!C40</f>
        <v>9880</v>
      </c>
      <c r="D23" s="7">
        <f>Допущения!D40</f>
        <v>19770</v>
      </c>
      <c r="E23" s="7">
        <f>Допущения!E40</f>
        <v>28082</v>
      </c>
      <c r="F23" s="7">
        <f>Допущения!F40</f>
        <v>39835.172000000006</v>
      </c>
      <c r="G23" s="7">
        <f>Допущения!G40</f>
        <v>51703.12223999999</v>
      </c>
      <c r="H23" s="7">
        <f>Допущения!H40</f>
        <v>64090.421869600003</v>
      </c>
      <c r="I23" s="7">
        <f>Допущения!I40</f>
        <v>78321.769682687984</v>
      </c>
      <c r="J23" s="7">
        <f>Допущения!J40</f>
        <v>91547.804374387168</v>
      </c>
    </row>
    <row r="24" spans="1:10" x14ac:dyDescent="0.35">
      <c r="A24" s="12" t="s">
        <v>74</v>
      </c>
      <c r="C24" s="13">
        <f t="shared" ref="C24:J24" si="8">C15+C23</f>
        <v>-48976</v>
      </c>
      <c r="D24" s="13">
        <f t="shared" si="8"/>
        <v>-24379</v>
      </c>
      <c r="E24" s="13">
        <f t="shared" si="8"/>
        <v>-4673</v>
      </c>
      <c r="F24" s="13">
        <f t="shared" si="8"/>
        <v>13482.67359999998</v>
      </c>
      <c r="G24" s="13">
        <f t="shared" si="8"/>
        <v>37751.486079999951</v>
      </c>
      <c r="H24" s="13">
        <f t="shared" si="8"/>
        <v>65141.084523199985</v>
      </c>
      <c r="I24" s="13">
        <f t="shared" si="8"/>
        <v>96596.849275315311</v>
      </c>
      <c r="J24" s="13">
        <f t="shared" si="8"/>
        <v>128787.58920464639</v>
      </c>
    </row>
    <row r="25" spans="1:10" x14ac:dyDescent="0.35">
      <c r="A25" s="2" t="s">
        <v>75</v>
      </c>
      <c r="C25" s="6">
        <f t="shared" ref="C25:J25" si="9">C24/C5</f>
        <v>-0.274814129001487</v>
      </c>
      <c r="D25" s="6">
        <f t="shared" si="9"/>
        <v>-8.7974306695776119E-2</v>
      </c>
      <c r="E25" s="6">
        <f t="shared" si="9"/>
        <v>-1.1013667506499077E-2</v>
      </c>
      <c r="F25" s="6">
        <f t="shared" si="9"/>
        <v>2.1999999999999967E-2</v>
      </c>
      <c r="G25" s="6">
        <f t="shared" si="9"/>
        <v>4.5999999999999951E-2</v>
      </c>
      <c r="H25" s="6">
        <f t="shared" si="9"/>
        <v>6.1999999999999979E-2</v>
      </c>
      <c r="I25" s="6">
        <f t="shared" si="9"/>
        <v>7.4000000000000093E-2</v>
      </c>
      <c r="J25" s="6">
        <f t="shared" si="9"/>
        <v>8.3000000000000018E-2</v>
      </c>
    </row>
    <row r="27" spans="1:10" ht="25" customHeight="1" x14ac:dyDescent="0.35">
      <c r="A27" s="2" t="s">
        <v>76</v>
      </c>
      <c r="C27" s="7">
        <f>-56779-C20</f>
        <v>0</v>
      </c>
      <c r="D27" s="7">
        <f>-58187-D20</f>
        <v>0</v>
      </c>
      <c r="E27" s="7">
        <f>-42665-E20</f>
        <v>0</v>
      </c>
    </row>
    <row r="30" spans="1:10" x14ac:dyDescent="0.35">
      <c r="A30" s="36" t="s">
        <v>77</v>
      </c>
      <c r="B30" s="37"/>
      <c r="C30" s="37"/>
      <c r="D30" s="37"/>
      <c r="E30" s="37"/>
      <c r="F30" s="37"/>
      <c r="G30" s="37"/>
      <c r="H30" s="37"/>
      <c r="I30" s="37"/>
      <c r="J30" s="37"/>
    </row>
    <row r="31" spans="1:10" ht="28" customHeight="1" x14ac:dyDescent="0.35">
      <c r="A31" s="46" t="s">
        <v>78</v>
      </c>
      <c r="B31" s="37"/>
      <c r="C31" s="37"/>
      <c r="D31" s="37"/>
      <c r="E31" s="37"/>
      <c r="F31" s="37"/>
      <c r="G31" s="37"/>
      <c r="H31" s="37"/>
      <c r="I31" s="37"/>
      <c r="J31" s="37"/>
    </row>
    <row r="32" spans="1:10" x14ac:dyDescent="0.35">
      <c r="A32" s="2" t="s">
        <v>71</v>
      </c>
      <c r="C32" s="7">
        <f t="shared" ref="C32:J32" si="10">C20</f>
        <v>-56779</v>
      </c>
      <c r="D32" s="7">
        <f t="shared" si="10"/>
        <v>-58187</v>
      </c>
      <c r="E32" s="7">
        <f t="shared" si="10"/>
        <v>-42665</v>
      </c>
      <c r="F32" s="7">
        <f t="shared" si="10"/>
        <v>-37996.625600000028</v>
      </c>
      <c r="G32" s="7">
        <f t="shared" si="10"/>
        <v>-27082.587840000037</v>
      </c>
      <c r="H32" s="7">
        <f t="shared" si="10"/>
        <v>-13658.614496800019</v>
      </c>
      <c r="I32" s="7">
        <f t="shared" si="10"/>
        <v>6265.7415746151428</v>
      </c>
      <c r="J32" s="7">
        <f t="shared" si="10"/>
        <v>22343.870898155536</v>
      </c>
    </row>
    <row r="33" spans="1:10" x14ac:dyDescent="0.35">
      <c r="A33" s="2" t="s">
        <v>79</v>
      </c>
      <c r="C33" s="7">
        <f t="shared" ref="C33:J33" si="11">C23</f>
        <v>9880</v>
      </c>
      <c r="D33" s="7">
        <f t="shared" si="11"/>
        <v>19770</v>
      </c>
      <c r="E33" s="7">
        <f t="shared" si="11"/>
        <v>28082</v>
      </c>
      <c r="F33" s="7">
        <f t="shared" si="11"/>
        <v>39835.172000000006</v>
      </c>
      <c r="G33" s="7">
        <f t="shared" si="11"/>
        <v>51703.12223999999</v>
      </c>
      <c r="H33" s="7">
        <f t="shared" si="11"/>
        <v>64090.421869600003</v>
      </c>
      <c r="I33" s="7">
        <f t="shared" si="11"/>
        <v>78321.769682687984</v>
      </c>
      <c r="J33" s="7">
        <f t="shared" si="11"/>
        <v>91547.804374387168</v>
      </c>
    </row>
    <row r="34" spans="1:10" x14ac:dyDescent="0.35">
      <c r="A34" s="14" t="s">
        <v>80</v>
      </c>
      <c r="C34" s="15">
        <f t="shared" ref="C34:J34" si="12">C32+C33</f>
        <v>-46899</v>
      </c>
      <c r="D34" s="15">
        <f t="shared" si="12"/>
        <v>-38417</v>
      </c>
      <c r="E34" s="15">
        <f t="shared" si="12"/>
        <v>-14583</v>
      </c>
      <c r="F34" s="15">
        <f t="shared" si="12"/>
        <v>1838.5463999999774</v>
      </c>
      <c r="G34" s="15">
        <f t="shared" si="12"/>
        <v>24620.534399999953</v>
      </c>
      <c r="H34" s="15">
        <f t="shared" si="12"/>
        <v>50431.807372799987</v>
      </c>
      <c r="I34" s="15">
        <f t="shared" si="12"/>
        <v>84587.511257303122</v>
      </c>
      <c r="J34" s="15">
        <f t="shared" si="12"/>
        <v>113891.67527254271</v>
      </c>
    </row>
    <row r="36" spans="1:10" ht="25" customHeight="1" x14ac:dyDescent="0.35">
      <c r="A36" s="2" t="s">
        <v>81</v>
      </c>
      <c r="F36" s="7">
        <f>MAX(Допущения!F$45-(E37+F34),0)</f>
        <v>0</v>
      </c>
      <c r="G36" s="7">
        <f>MAX(Допущения!G$45-(F37+G34),0)</f>
        <v>0</v>
      </c>
      <c r="H36" s="7">
        <f>MAX(Допущения!H$45-(G37+H34),0)</f>
        <v>0</v>
      </c>
      <c r="I36" s="7">
        <f>MAX(Допущения!I$45-(H37+I34),0)</f>
        <v>0</v>
      </c>
      <c r="J36" s="7">
        <f>MAX(Допущения!J$45-(I37+J34),0)</f>
        <v>0</v>
      </c>
    </row>
    <row r="37" spans="1:10" x14ac:dyDescent="0.35">
      <c r="A37" s="12" t="s">
        <v>82</v>
      </c>
      <c r="C37" s="13">
        <v>108037</v>
      </c>
      <c r="D37" s="13">
        <v>90469</v>
      </c>
      <c r="E37" s="13">
        <v>169814</v>
      </c>
      <c r="F37" s="13">
        <f>E37+F34+F36</f>
        <v>171652.54639999999</v>
      </c>
      <c r="G37" s="13">
        <f>F37+G34+G36</f>
        <v>196273.08079999994</v>
      </c>
      <c r="H37" s="13">
        <f>G37+H34+H36</f>
        <v>246704.88817279993</v>
      </c>
      <c r="I37" s="13">
        <f>H37+I34+I36</f>
        <v>331292.39943010302</v>
      </c>
      <c r="J37" s="13">
        <f>I37+J34+J36</f>
        <v>445184.07470264571</v>
      </c>
    </row>
    <row r="38" spans="1:10" ht="25" customHeight="1" x14ac:dyDescent="0.35">
      <c r="A38" s="2" t="s">
        <v>83</v>
      </c>
      <c r="F38" s="7">
        <f>F37-Допущения!F$45</f>
        <v>166652.54639999999</v>
      </c>
      <c r="G38" s="7">
        <f>G37-Допущения!G$45</f>
        <v>191273.08079999994</v>
      </c>
      <c r="H38" s="7">
        <f>H37-Допущения!H$45</f>
        <v>241704.88817279993</v>
      </c>
      <c r="I38" s="7">
        <f>I37-Допущения!I$45</f>
        <v>326292.39943010302</v>
      </c>
      <c r="J38" s="7">
        <f>J37-Допущения!J$45</f>
        <v>440184.07470264571</v>
      </c>
    </row>
  </sheetData>
  <mergeCells count="3">
    <mergeCell ref="A4:J4"/>
    <mergeCell ref="A31:J31"/>
    <mergeCell ref="A30:J30"/>
  </mergeCells>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2"/>
  <sheetViews>
    <sheetView showGridLines="0" tabSelected="1" zoomScale="130" workbookViewId="0">
      <pane xSplit="2" ySplit="1" topLeftCell="C170" activePane="bottomRight" state="frozen"/>
      <selection pane="topRight"/>
      <selection pane="bottomLeft"/>
      <selection pane="bottomRight" activeCell="E131" sqref="E131"/>
    </sheetView>
  </sheetViews>
  <sheetFormatPr defaultRowHeight="14.5" x14ac:dyDescent="0.35"/>
  <cols>
    <col min="1" max="1" width="52" style="16" customWidth="1"/>
    <col min="2" max="2" width="42" style="16" customWidth="1"/>
    <col min="3" max="3" width="14" style="16" customWidth="1"/>
    <col min="4" max="4" width="15.81640625" style="16" customWidth="1"/>
    <col min="5" max="5" width="22.36328125" style="16" customWidth="1"/>
    <col min="6" max="10" width="14" style="16" customWidth="1"/>
    <col min="11" max="11" width="19.81640625" style="16" customWidth="1"/>
  </cols>
  <sheetData>
    <row r="1" spans="1:11" x14ac:dyDescent="0.35">
      <c r="A1" s="36" t="s">
        <v>84</v>
      </c>
      <c r="B1" s="36"/>
      <c r="C1" s="36"/>
      <c r="D1" s="36"/>
      <c r="E1" s="36"/>
      <c r="F1" s="36"/>
      <c r="G1" s="36"/>
      <c r="H1" s="36"/>
      <c r="I1" s="36"/>
      <c r="J1" s="36"/>
      <c r="K1" s="36"/>
    </row>
    <row r="2" spans="1:11" x14ac:dyDescent="0.35">
      <c r="A2" s="1" t="s">
        <v>85</v>
      </c>
      <c r="B2" s="1" t="s">
        <v>86</v>
      </c>
    </row>
    <row r="3" spans="1:11" x14ac:dyDescent="0.35">
      <c r="A3" s="1" t="s">
        <v>87</v>
      </c>
      <c r="B3" s="1" t="s">
        <v>88</v>
      </c>
    </row>
    <row r="4" spans="1:11" x14ac:dyDescent="0.35">
      <c r="A4" s="1" t="s">
        <v>89</v>
      </c>
      <c r="B4" s="1" t="s">
        <v>90</v>
      </c>
    </row>
    <row r="5" spans="1:11" x14ac:dyDescent="0.35">
      <c r="A5" s="35"/>
      <c r="B5" s="51"/>
      <c r="C5" s="51"/>
      <c r="D5" s="51"/>
      <c r="E5" s="51"/>
      <c r="F5" s="51"/>
      <c r="G5" s="51"/>
      <c r="H5" s="51"/>
      <c r="I5" s="51"/>
      <c r="J5" s="51"/>
      <c r="K5" s="51"/>
    </row>
    <row r="7" spans="1:11" x14ac:dyDescent="0.35">
      <c r="A7" s="36" t="s">
        <v>91</v>
      </c>
      <c r="B7" s="36"/>
      <c r="C7" s="36"/>
      <c r="D7" s="36"/>
      <c r="E7" s="36"/>
      <c r="F7" s="36"/>
      <c r="G7" s="36"/>
      <c r="H7" s="36"/>
      <c r="I7" s="36"/>
      <c r="J7" s="36"/>
      <c r="K7" s="36"/>
    </row>
    <row r="8" spans="1:11" ht="28" customHeight="1" x14ac:dyDescent="0.35">
      <c r="A8" s="18" t="s">
        <v>9</v>
      </c>
      <c r="B8" s="18" t="s">
        <v>10</v>
      </c>
      <c r="C8" s="19" t="s">
        <v>92</v>
      </c>
    </row>
    <row r="9" spans="1:11" ht="36" x14ac:dyDescent="0.35">
      <c r="A9" s="2" t="s">
        <v>93</v>
      </c>
      <c r="B9" s="17" t="s">
        <v>94</v>
      </c>
      <c r="C9" s="7">
        <v>108037</v>
      </c>
    </row>
    <row r="10" spans="1:11" ht="25" x14ac:dyDescent="0.35">
      <c r="A10" s="2" t="s">
        <v>95</v>
      </c>
      <c r="B10" s="17"/>
      <c r="C10" s="7">
        <v>17954</v>
      </c>
    </row>
    <row r="11" spans="1:11" x14ac:dyDescent="0.35">
      <c r="A11" s="2" t="s">
        <v>96</v>
      </c>
      <c r="B11" s="17"/>
      <c r="C11" s="7">
        <v>50577</v>
      </c>
    </row>
    <row r="12" spans="1:11" x14ac:dyDescent="0.35">
      <c r="A12" s="2" t="s">
        <v>97</v>
      </c>
      <c r="B12" s="17"/>
      <c r="C12" s="7">
        <v>11539</v>
      </c>
    </row>
    <row r="13" spans="1:11" x14ac:dyDescent="0.35">
      <c r="A13" s="2" t="s">
        <v>98</v>
      </c>
      <c r="B13" s="17"/>
      <c r="C13" s="7">
        <v>34770</v>
      </c>
    </row>
    <row r="14" spans="1:11" x14ac:dyDescent="0.35">
      <c r="A14" s="2" t="s">
        <v>99</v>
      </c>
      <c r="B14" s="17"/>
      <c r="C14" s="7">
        <v>7697</v>
      </c>
    </row>
    <row r="15" spans="1:11" ht="26" x14ac:dyDescent="0.35">
      <c r="A15" s="12" t="s">
        <v>100</v>
      </c>
      <c r="B15" s="12" t="s">
        <v>101</v>
      </c>
      <c r="C15" s="13">
        <f>SUM(C11:C14)</f>
        <v>104583</v>
      </c>
    </row>
    <row r="16" spans="1:11" ht="26" x14ac:dyDescent="0.35">
      <c r="A16" s="12" t="s">
        <v>102</v>
      </c>
      <c r="B16" s="12" t="s">
        <v>103</v>
      </c>
      <c r="C16" s="13">
        <f>C15-C9-C10</f>
        <v>-21408</v>
      </c>
    </row>
    <row r="17" spans="1:11" ht="25" x14ac:dyDescent="0.35">
      <c r="A17" s="2" t="s">
        <v>104</v>
      </c>
      <c r="B17" s="17" t="s">
        <v>105</v>
      </c>
      <c r="C17" s="20">
        <v>29.61</v>
      </c>
    </row>
    <row r="18" spans="1:11" ht="24" x14ac:dyDescent="0.35">
      <c r="A18" s="2" t="s">
        <v>106</v>
      </c>
      <c r="B18" s="17" t="s">
        <v>107</v>
      </c>
      <c r="C18" s="5">
        <v>216.41373300000001</v>
      </c>
    </row>
    <row r="19" spans="1:11" ht="25" x14ac:dyDescent="0.35">
      <c r="A19" s="2" t="s">
        <v>108</v>
      </c>
      <c r="B19" s="17" t="s">
        <v>109</v>
      </c>
      <c r="C19" s="21">
        <v>74.292599999999993</v>
      </c>
    </row>
    <row r="20" spans="1:11" ht="26" x14ac:dyDescent="0.35">
      <c r="A20" s="12" t="s">
        <v>110</v>
      </c>
      <c r="B20" s="12" t="s">
        <v>111</v>
      </c>
      <c r="C20" s="13">
        <f>C17*C18*C19</f>
        <v>476067.77083716635</v>
      </c>
    </row>
    <row r="21" spans="1:11" ht="24" x14ac:dyDescent="0.35">
      <c r="A21" s="2" t="s">
        <v>112</v>
      </c>
      <c r="B21" s="17" t="s">
        <v>113</v>
      </c>
      <c r="C21" s="5">
        <f>C20/C18</f>
        <v>2199.8038859999997</v>
      </c>
    </row>
    <row r="22" spans="1:11" ht="26" x14ac:dyDescent="0.35">
      <c r="A22" s="12" t="s">
        <v>114</v>
      </c>
      <c r="B22" s="12" t="s">
        <v>115</v>
      </c>
      <c r="C22" s="13">
        <f>C20+C16</f>
        <v>454659.77083716635</v>
      </c>
    </row>
    <row r="24" spans="1:11" x14ac:dyDescent="0.35">
      <c r="A24" s="36" t="s">
        <v>116</v>
      </c>
      <c r="B24" s="36"/>
      <c r="C24" s="36"/>
      <c r="D24" s="36"/>
      <c r="E24" s="36"/>
      <c r="F24" s="36"/>
      <c r="G24" s="36"/>
      <c r="H24" s="36"/>
      <c r="I24" s="36"/>
      <c r="J24" s="36"/>
      <c r="K24" s="36"/>
    </row>
    <row r="25" spans="1:11" ht="39" x14ac:dyDescent="0.35">
      <c r="A25" s="18" t="s">
        <v>117</v>
      </c>
      <c r="B25" s="18" t="s">
        <v>118</v>
      </c>
      <c r="C25" s="19" t="s">
        <v>119</v>
      </c>
      <c r="D25" s="19" t="s">
        <v>120</v>
      </c>
      <c r="E25" s="19" t="s">
        <v>121</v>
      </c>
    </row>
    <row r="26" spans="1:11" x14ac:dyDescent="0.35">
      <c r="A26" s="2" t="s">
        <v>93</v>
      </c>
      <c r="B26" s="17" t="s">
        <v>122</v>
      </c>
      <c r="C26" s="7">
        <v>108037</v>
      </c>
      <c r="D26" s="7">
        <v>0</v>
      </c>
      <c r="E26" s="7">
        <f t="shared" ref="E26:E33" si="0">C26+D26</f>
        <v>108037</v>
      </c>
    </row>
    <row r="27" spans="1:11" x14ac:dyDescent="0.35">
      <c r="A27" s="2" t="s">
        <v>123</v>
      </c>
      <c r="B27" s="17" t="s">
        <v>124</v>
      </c>
      <c r="C27" s="7">
        <v>17954</v>
      </c>
      <c r="D27" s="7">
        <v>0</v>
      </c>
      <c r="E27" s="7">
        <f t="shared" si="0"/>
        <v>17954</v>
      </c>
    </row>
    <row r="28" spans="1:11" ht="48" x14ac:dyDescent="0.35">
      <c r="A28" s="2" t="s">
        <v>125</v>
      </c>
      <c r="B28" s="17" t="s">
        <v>126</v>
      </c>
      <c r="C28" s="7">
        <v>6611</v>
      </c>
      <c r="D28" s="7">
        <f>-0.05*C28</f>
        <v>-330.55</v>
      </c>
      <c r="E28" s="7">
        <f t="shared" si="0"/>
        <v>6280.45</v>
      </c>
    </row>
    <row r="29" spans="1:11" ht="36" x14ac:dyDescent="0.35">
      <c r="A29" s="2" t="s">
        <v>127</v>
      </c>
      <c r="B29" s="17" t="s">
        <v>331</v>
      </c>
      <c r="C29" s="7">
        <v>26362</v>
      </c>
      <c r="D29" s="7">
        <f>-0.1*C29</f>
        <v>-2636.2000000000003</v>
      </c>
      <c r="E29" s="7">
        <f t="shared" si="0"/>
        <v>23725.8</v>
      </c>
    </row>
    <row r="30" spans="1:11" x14ac:dyDescent="0.35">
      <c r="A30" s="2" t="s">
        <v>128</v>
      </c>
      <c r="B30" s="17" t="s">
        <v>129</v>
      </c>
      <c r="C30" s="7">
        <v>7622</v>
      </c>
      <c r="D30" s="7">
        <v>0</v>
      </c>
      <c r="E30" s="7">
        <f t="shared" si="0"/>
        <v>7622</v>
      </c>
    </row>
    <row r="31" spans="1:11" ht="36" x14ac:dyDescent="0.35">
      <c r="A31" s="2" t="s">
        <v>130</v>
      </c>
      <c r="B31" s="17" t="s">
        <v>131</v>
      </c>
      <c r="C31" s="7">
        <v>39940</v>
      </c>
      <c r="D31" s="7">
        <v>0</v>
      </c>
      <c r="E31" s="7">
        <f t="shared" si="0"/>
        <v>39940</v>
      </c>
    </row>
    <row r="32" spans="1:11" ht="24" x14ac:dyDescent="0.35">
      <c r="A32" s="2" t="s">
        <v>132</v>
      </c>
      <c r="B32" s="17" t="s">
        <v>133</v>
      </c>
      <c r="C32" s="7">
        <v>29970</v>
      </c>
      <c r="D32" s="7">
        <v>0</v>
      </c>
      <c r="E32" s="7">
        <f t="shared" si="0"/>
        <v>29970</v>
      </c>
    </row>
    <row r="33" spans="1:11" x14ac:dyDescent="0.35">
      <c r="A33" s="2" t="s">
        <v>134</v>
      </c>
      <c r="B33" s="17" t="s">
        <v>129</v>
      </c>
      <c r="C33" s="7">
        <v>4842</v>
      </c>
      <c r="D33" s="7">
        <v>0</v>
      </c>
      <c r="E33" s="7">
        <f t="shared" si="0"/>
        <v>4842</v>
      </c>
    </row>
    <row r="34" spans="1:11" x14ac:dyDescent="0.35">
      <c r="A34" s="12" t="s">
        <v>135</v>
      </c>
      <c r="B34" s="12" t="s">
        <v>136</v>
      </c>
      <c r="C34" s="13">
        <f>SUM(C26:C33)</f>
        <v>241338</v>
      </c>
      <c r="D34" s="13">
        <f>SUM(D26:D33)</f>
        <v>-2966.7500000000005</v>
      </c>
      <c r="E34" s="13">
        <f>SUM(E26:E33)</f>
        <v>238371.25</v>
      </c>
    </row>
    <row r="36" spans="1:11" x14ac:dyDescent="0.35">
      <c r="A36" s="2" t="s">
        <v>137</v>
      </c>
      <c r="B36" s="17"/>
      <c r="C36" s="7">
        <v>86794</v>
      </c>
      <c r="D36" s="7">
        <v>0</v>
      </c>
      <c r="E36" s="7">
        <f>C36+D36</f>
        <v>86794</v>
      </c>
    </row>
    <row r="37" spans="1:11" x14ac:dyDescent="0.35">
      <c r="A37" s="2" t="s">
        <v>138</v>
      </c>
      <c r="B37" s="17"/>
      <c r="C37" s="7">
        <v>89273</v>
      </c>
      <c r="D37" s="7">
        <v>0</v>
      </c>
      <c r="E37" s="7">
        <f>C37+D37</f>
        <v>89273</v>
      </c>
    </row>
    <row r="38" spans="1:11" x14ac:dyDescent="0.35">
      <c r="A38" s="2" t="s">
        <v>139</v>
      </c>
      <c r="B38" s="17"/>
      <c r="C38" s="7">
        <v>34663</v>
      </c>
      <c r="D38" s="7">
        <v>0</v>
      </c>
      <c r="E38" s="7">
        <f>C38+D38</f>
        <v>34663</v>
      </c>
    </row>
    <row r="39" spans="1:11" x14ac:dyDescent="0.35">
      <c r="A39" s="12" t="s">
        <v>140</v>
      </c>
      <c r="B39" s="12" t="s">
        <v>141</v>
      </c>
      <c r="C39" s="13">
        <f>SUM(C36:C38)</f>
        <v>210730</v>
      </c>
      <c r="D39" s="13">
        <f>SUM(D36:D38)</f>
        <v>0</v>
      </c>
      <c r="E39" s="13">
        <f>SUM(E36:E38)</f>
        <v>210730</v>
      </c>
    </row>
    <row r="40" spans="1:11" ht="25" x14ac:dyDescent="0.35">
      <c r="A40" s="2" t="s">
        <v>142</v>
      </c>
      <c r="B40" s="17" t="s">
        <v>143</v>
      </c>
      <c r="C40" s="7">
        <f>C34-C39-30608</f>
        <v>0</v>
      </c>
    </row>
    <row r="41" spans="1:11" ht="26" x14ac:dyDescent="0.35">
      <c r="A41" s="12" t="s">
        <v>144</v>
      </c>
      <c r="B41" s="12" t="s">
        <v>145</v>
      </c>
      <c r="C41" s="13">
        <f>E34-E39</f>
        <v>27641.25</v>
      </c>
    </row>
    <row r="42" spans="1:11" x14ac:dyDescent="0.35">
      <c r="A42" s="12" t="s">
        <v>146</v>
      </c>
      <c r="B42" s="12" t="s">
        <v>147</v>
      </c>
      <c r="C42" s="13">
        <f>C41+C16</f>
        <v>6233.25</v>
      </c>
    </row>
    <row r="43" spans="1:11" ht="50" customHeight="1" x14ac:dyDescent="0.35">
      <c r="A43" s="47" t="s">
        <v>332</v>
      </c>
      <c r="B43" s="37"/>
      <c r="C43" s="37"/>
      <c r="D43" s="37"/>
      <c r="E43" s="37"/>
      <c r="F43" s="37"/>
      <c r="G43" s="37"/>
      <c r="H43" s="37"/>
      <c r="I43" s="37"/>
      <c r="J43" s="37"/>
      <c r="K43" s="37"/>
    </row>
    <row r="45" spans="1:11" x14ac:dyDescent="0.35">
      <c r="A45" s="36" t="s">
        <v>148</v>
      </c>
      <c r="B45" s="36"/>
      <c r="C45" s="36"/>
      <c r="D45" s="36"/>
      <c r="E45" s="36"/>
      <c r="F45" s="36"/>
      <c r="G45" s="36"/>
      <c r="H45" s="36"/>
      <c r="I45" s="36"/>
      <c r="J45" s="36"/>
      <c r="K45" s="36"/>
    </row>
    <row r="46" spans="1:11" ht="38" customHeight="1" x14ac:dyDescent="0.35">
      <c r="A46" s="47" t="s">
        <v>333</v>
      </c>
      <c r="B46" s="37"/>
      <c r="C46" s="37"/>
      <c r="D46" s="37"/>
      <c r="E46" s="37"/>
      <c r="F46" s="37"/>
      <c r="G46" s="37"/>
      <c r="H46" s="37"/>
      <c r="I46" s="37"/>
      <c r="J46" s="37"/>
      <c r="K46" s="37"/>
    </row>
    <row r="47" spans="1:11" x14ac:dyDescent="0.35">
      <c r="A47" s="48" t="s">
        <v>149</v>
      </c>
      <c r="B47" s="48"/>
      <c r="C47" s="48"/>
      <c r="D47" s="48"/>
      <c r="E47" s="48"/>
      <c r="F47" s="48"/>
      <c r="G47" s="48"/>
      <c r="H47" s="48"/>
      <c r="I47" s="48"/>
      <c r="J47" s="48"/>
      <c r="K47" s="48"/>
    </row>
    <row r="48" spans="1:11" ht="45" customHeight="1" x14ac:dyDescent="0.35">
      <c r="A48" s="18" t="s">
        <v>150</v>
      </c>
      <c r="B48" s="18" t="s">
        <v>151</v>
      </c>
      <c r="C48" s="19" t="s">
        <v>152</v>
      </c>
      <c r="D48" s="19" t="s">
        <v>153</v>
      </c>
      <c r="E48" s="19" t="s">
        <v>154</v>
      </c>
      <c r="F48" s="19" t="s">
        <v>155</v>
      </c>
    </row>
    <row r="49" spans="1:11" ht="60" x14ac:dyDescent="0.35">
      <c r="A49" s="2" t="s">
        <v>156</v>
      </c>
      <c r="B49" s="17" t="s">
        <v>157</v>
      </c>
      <c r="C49" s="52" t="s">
        <v>158</v>
      </c>
      <c r="D49" s="20">
        <v>62.5</v>
      </c>
      <c r="E49" s="20">
        <v>10</v>
      </c>
      <c r="F49" s="23" t="s">
        <v>159</v>
      </c>
    </row>
    <row r="50" spans="1:11" ht="48" x14ac:dyDescent="0.35">
      <c r="A50" s="2" t="s">
        <v>160</v>
      </c>
      <c r="B50" s="17" t="s">
        <v>161</v>
      </c>
      <c r="C50" s="52" t="s">
        <v>162</v>
      </c>
      <c r="D50" s="20">
        <v>28.4</v>
      </c>
      <c r="E50" s="20">
        <v>7.07</v>
      </c>
      <c r="F50" s="23" t="s">
        <v>159</v>
      </c>
    </row>
    <row r="51" spans="1:11" ht="60" x14ac:dyDescent="0.35">
      <c r="A51" s="2" t="s">
        <v>163</v>
      </c>
      <c r="B51" s="17" t="s">
        <v>164</v>
      </c>
      <c r="C51" s="52" t="s">
        <v>165</v>
      </c>
      <c r="E51" s="20">
        <v>18.399999999999999</v>
      </c>
      <c r="F51" s="23" t="s">
        <v>159</v>
      </c>
    </row>
    <row r="52" spans="1:11" ht="48" x14ac:dyDescent="0.35">
      <c r="A52" s="2" t="s">
        <v>166</v>
      </c>
      <c r="B52" s="17" t="s">
        <v>167</v>
      </c>
      <c r="C52" s="52" t="s">
        <v>168</v>
      </c>
      <c r="D52" s="20">
        <v>10.35</v>
      </c>
      <c r="E52" s="20">
        <v>1.32</v>
      </c>
      <c r="F52" s="23" t="s">
        <v>159</v>
      </c>
    </row>
    <row r="53" spans="1:11" ht="60" x14ac:dyDescent="0.35">
      <c r="A53" s="2" t="s">
        <v>169</v>
      </c>
      <c r="B53" s="17" t="s">
        <v>170</v>
      </c>
      <c r="C53" s="52" t="s">
        <v>171</v>
      </c>
      <c r="E53" s="20">
        <v>469.8</v>
      </c>
      <c r="F53" s="23" t="s">
        <v>172</v>
      </c>
    </row>
    <row r="54" spans="1:11" ht="72" x14ac:dyDescent="0.35">
      <c r="A54" s="2" t="s">
        <v>173</v>
      </c>
      <c r="B54" s="17" t="s">
        <v>174</v>
      </c>
      <c r="C54" s="52" t="s">
        <v>175</v>
      </c>
      <c r="E54" s="20">
        <v>149.30000000000001</v>
      </c>
      <c r="F54" s="23" t="s">
        <v>172</v>
      </c>
    </row>
    <row r="55" spans="1:11" ht="48" x14ac:dyDescent="0.35">
      <c r="A55" s="2" t="s">
        <v>176</v>
      </c>
      <c r="B55" s="17" t="s">
        <v>177</v>
      </c>
      <c r="C55" s="52" t="s">
        <v>178</v>
      </c>
      <c r="F55" s="23" t="s">
        <v>172</v>
      </c>
    </row>
    <row r="56" spans="1:11" ht="48" x14ac:dyDescent="0.35">
      <c r="A56" s="2" t="s">
        <v>179</v>
      </c>
      <c r="B56" s="17" t="s">
        <v>180</v>
      </c>
      <c r="C56" s="52" t="s">
        <v>178</v>
      </c>
      <c r="F56" s="23" t="s">
        <v>172</v>
      </c>
    </row>
    <row r="57" spans="1:11" ht="26" customHeight="1" x14ac:dyDescent="0.35">
      <c r="A57" s="47" t="s">
        <v>181</v>
      </c>
      <c r="B57" s="37"/>
      <c r="C57" s="37"/>
      <c r="D57" s="37"/>
      <c r="E57" s="37"/>
      <c r="F57" s="37"/>
      <c r="G57" s="37"/>
      <c r="H57" s="37"/>
      <c r="I57" s="37"/>
      <c r="J57" s="37"/>
      <c r="K57" s="37"/>
    </row>
    <row r="59" spans="1:11" x14ac:dyDescent="0.35">
      <c r="A59" s="48" t="s">
        <v>182</v>
      </c>
      <c r="B59" s="48"/>
      <c r="C59" s="48"/>
      <c r="D59" s="48"/>
      <c r="E59" s="48"/>
      <c r="F59" s="48"/>
      <c r="G59" s="48"/>
      <c r="H59" s="48"/>
      <c r="I59" s="48"/>
      <c r="J59" s="48"/>
      <c r="K59" s="48"/>
    </row>
    <row r="60" spans="1:11" ht="72" customHeight="1" x14ac:dyDescent="0.35">
      <c r="A60" s="18" t="s">
        <v>183</v>
      </c>
      <c r="B60" s="18" t="s">
        <v>184</v>
      </c>
      <c r="C60" s="19" t="s">
        <v>185</v>
      </c>
      <c r="D60" s="19" t="s">
        <v>186</v>
      </c>
      <c r="E60" s="19" t="s">
        <v>187</v>
      </c>
      <c r="F60" s="19" t="s">
        <v>154</v>
      </c>
      <c r="G60" s="19" t="s">
        <v>153</v>
      </c>
      <c r="H60" s="19" t="s">
        <v>188</v>
      </c>
      <c r="I60" s="19" t="s">
        <v>189</v>
      </c>
      <c r="J60" s="19" t="s">
        <v>190</v>
      </c>
    </row>
    <row r="61" spans="1:11" x14ac:dyDescent="0.35">
      <c r="A61" s="2" t="s">
        <v>156</v>
      </c>
      <c r="B61" s="17"/>
      <c r="C61" s="20">
        <v>124.8</v>
      </c>
      <c r="D61" s="20">
        <v>-5</v>
      </c>
      <c r="E61" s="20">
        <f>C61+D61</f>
        <v>119.8</v>
      </c>
      <c r="F61" s="20">
        <v>10</v>
      </c>
      <c r="G61" s="20">
        <v>62.5</v>
      </c>
      <c r="H61" s="20">
        <f>E61/F61</f>
        <v>11.98</v>
      </c>
      <c r="I61" s="20">
        <f>E61/G61</f>
        <v>1.9168000000000001</v>
      </c>
      <c r="J61" s="6">
        <f>F61/G61</f>
        <v>0.16</v>
      </c>
    </row>
    <row r="62" spans="1:11" x14ac:dyDescent="0.35">
      <c r="A62" s="2" t="s">
        <v>160</v>
      </c>
      <c r="B62" s="17"/>
      <c r="C62" s="20">
        <v>68</v>
      </c>
      <c r="D62" s="20">
        <v>0</v>
      </c>
      <c r="E62" s="20">
        <f>C62+D62</f>
        <v>68</v>
      </c>
      <c r="F62" s="20">
        <v>7.07</v>
      </c>
      <c r="G62" s="20">
        <v>28.4</v>
      </c>
      <c r="H62" s="20">
        <f>E62/F62</f>
        <v>9.618104667609618</v>
      </c>
      <c r="I62" s="20">
        <f>E62/G62</f>
        <v>2.3943661971830985</v>
      </c>
      <c r="J62" s="6">
        <f>F62/G62</f>
        <v>0.24894366197183102</v>
      </c>
    </row>
    <row r="63" spans="1:11" x14ac:dyDescent="0.35">
      <c r="A63" s="2" t="s">
        <v>163</v>
      </c>
      <c r="B63" s="17"/>
      <c r="C63" s="20">
        <v>51.5</v>
      </c>
      <c r="D63" s="20">
        <v>-0.5</v>
      </c>
      <c r="E63" s="20">
        <f>C63+D63</f>
        <v>51</v>
      </c>
      <c r="F63" s="20">
        <v>18.399999999999999</v>
      </c>
      <c r="H63" s="20">
        <f>E63/F63</f>
        <v>2.7717391304347827</v>
      </c>
    </row>
    <row r="64" spans="1:11" x14ac:dyDescent="0.35">
      <c r="A64" s="2" t="s">
        <v>166</v>
      </c>
      <c r="B64" s="17"/>
      <c r="C64" s="20">
        <v>9.8000000000000007</v>
      </c>
      <c r="D64" s="20">
        <v>0.6</v>
      </c>
      <c r="E64" s="20">
        <f>C64+D64</f>
        <v>10.4</v>
      </c>
      <c r="F64" s="20">
        <v>1.32</v>
      </c>
      <c r="G64" s="20">
        <v>10.35</v>
      </c>
      <c r="H64" s="20">
        <f>E64/F64</f>
        <v>7.8787878787878789</v>
      </c>
      <c r="I64" s="20">
        <f>E64/G64</f>
        <v>1.0048309178743962</v>
      </c>
      <c r="J64" s="6">
        <f>F64/G64</f>
        <v>0.12753623188405799</v>
      </c>
    </row>
    <row r="65" spans="1:11" x14ac:dyDescent="0.35">
      <c r="A65" s="12" t="s">
        <v>191</v>
      </c>
      <c r="B65" s="12" t="s">
        <v>334</v>
      </c>
      <c r="C65" s="22"/>
      <c r="D65" s="22"/>
      <c r="E65" s="22"/>
      <c r="F65" s="22"/>
      <c r="G65" s="22"/>
      <c r="H65" s="24">
        <f>AVERAGE(H61:H64)</f>
        <v>8.0621579192080688</v>
      </c>
      <c r="I65" s="24">
        <f>AVERAGE(I61:I64)</f>
        <v>1.7719990383524982</v>
      </c>
      <c r="J65" s="22"/>
    </row>
    <row r="66" spans="1:11" ht="39" x14ac:dyDescent="0.35">
      <c r="A66" s="12" t="s">
        <v>192</v>
      </c>
      <c r="B66" s="12" t="s">
        <v>193</v>
      </c>
      <c r="C66" s="22"/>
      <c r="D66" s="22"/>
      <c r="E66" s="22"/>
      <c r="F66" s="22"/>
      <c r="G66" s="22"/>
      <c r="H66" s="24">
        <f>MEDIAN(H61:H64)</f>
        <v>8.7484462731987485</v>
      </c>
      <c r="I66" s="24">
        <f>MEDIAN(I61:I64)</f>
        <v>1.9168000000000001</v>
      </c>
      <c r="J66" s="22"/>
    </row>
    <row r="67" spans="1:11" ht="25" x14ac:dyDescent="0.35">
      <c r="A67" s="2" t="s">
        <v>194</v>
      </c>
      <c r="B67" s="17" t="s">
        <v>195</v>
      </c>
      <c r="C67" s="20">
        <f>C20/1000/C19</f>
        <v>6.4080106341299992</v>
      </c>
      <c r="D67" s="20">
        <f>C16/1000/C19</f>
        <v>-0.28815790536338753</v>
      </c>
      <c r="E67" s="20">
        <f>C67+D67</f>
        <v>6.1198527287666113</v>
      </c>
      <c r="F67" s="20">
        <f>Расчёты!C5/1000/C19</f>
        <v>2.3988257242309468</v>
      </c>
      <c r="G67" s="20">
        <f>Допущения!C9/C19</f>
        <v>5.9965595496725115</v>
      </c>
      <c r="H67" s="20">
        <f>E67/F67</f>
        <v>2.5511868857120121</v>
      </c>
      <c r="I67" s="20">
        <f>E67/G67</f>
        <v>1.0205606528331455</v>
      </c>
      <c r="J67" s="6">
        <f>F67/G67</f>
        <v>0.40003367003367007</v>
      </c>
    </row>
    <row r="68" spans="1:11" ht="14" customHeight="1" x14ac:dyDescent="0.35">
      <c r="A68" s="47" t="s">
        <v>196</v>
      </c>
      <c r="B68" s="37"/>
      <c r="C68" s="37"/>
      <c r="D68" s="37"/>
      <c r="E68" s="37"/>
      <c r="F68" s="37"/>
      <c r="G68" s="37"/>
      <c r="H68" s="37"/>
      <c r="I68" s="37"/>
      <c r="J68" s="37"/>
      <c r="K68" s="37"/>
    </row>
    <row r="69" spans="1:11" ht="56.5" customHeight="1" x14ac:dyDescent="0.35">
      <c r="A69" s="53" t="s">
        <v>335</v>
      </c>
      <c r="B69" s="50"/>
      <c r="C69" s="50"/>
      <c r="D69" s="50"/>
      <c r="E69" s="50"/>
      <c r="F69" s="50"/>
      <c r="G69" s="50"/>
      <c r="H69" s="50"/>
      <c r="I69" s="50"/>
      <c r="J69" s="50"/>
      <c r="K69" s="50"/>
    </row>
    <row r="71" spans="1:11" x14ac:dyDescent="0.35">
      <c r="A71" s="48" t="s">
        <v>197</v>
      </c>
      <c r="B71" s="48"/>
      <c r="C71" s="48"/>
      <c r="D71" s="48"/>
      <c r="E71" s="48"/>
      <c r="F71" s="48"/>
      <c r="G71" s="48"/>
      <c r="H71" s="48"/>
      <c r="I71" s="48"/>
      <c r="J71" s="48"/>
      <c r="K71" s="48"/>
    </row>
    <row r="72" spans="1:11" ht="28" customHeight="1" x14ac:dyDescent="0.35">
      <c r="A72" s="18" t="s">
        <v>9</v>
      </c>
      <c r="B72" s="18" t="s">
        <v>198</v>
      </c>
      <c r="C72" s="19" t="s">
        <v>92</v>
      </c>
    </row>
    <row r="73" spans="1:11" ht="25" x14ac:dyDescent="0.35">
      <c r="A73" s="2" t="s">
        <v>199</v>
      </c>
      <c r="B73" s="17" t="s">
        <v>200</v>
      </c>
      <c r="C73" s="25">
        <f>MEDIAN(I61,I62,I64)</f>
        <v>1.9168000000000001</v>
      </c>
    </row>
    <row r="74" spans="1:11" ht="132" x14ac:dyDescent="0.35">
      <c r="A74" s="2" t="s">
        <v>201</v>
      </c>
      <c r="B74" s="17" t="s">
        <v>202</v>
      </c>
      <c r="C74" s="6">
        <v>0.4</v>
      </c>
    </row>
    <row r="75" spans="1:11" x14ac:dyDescent="0.35">
      <c r="A75" s="2" t="s">
        <v>203</v>
      </c>
      <c r="B75" s="17" t="s">
        <v>204</v>
      </c>
      <c r="C75" s="25">
        <f>C73*(1-C74)</f>
        <v>1.15008</v>
      </c>
    </row>
    <row r="76" spans="1:11" ht="24" x14ac:dyDescent="0.35">
      <c r="A76" s="2" t="s">
        <v>205</v>
      </c>
      <c r="B76" s="17" t="s">
        <v>206</v>
      </c>
      <c r="C76" s="7">
        <f>Допущения!C9*1000</f>
        <v>445500</v>
      </c>
    </row>
    <row r="77" spans="1:11" ht="25" x14ac:dyDescent="0.35">
      <c r="A77" s="2" t="s">
        <v>207</v>
      </c>
      <c r="B77" s="17" t="s">
        <v>208</v>
      </c>
      <c r="C77" s="7">
        <f>C75*C76</f>
        <v>512360.64</v>
      </c>
    </row>
    <row r="78" spans="1:11" ht="48" x14ac:dyDescent="0.35">
      <c r="A78" s="2" t="s">
        <v>209</v>
      </c>
      <c r="B78" s="17" t="s">
        <v>210</v>
      </c>
      <c r="C78" s="7">
        <f>I64*C76</f>
        <v>447652.17391304352</v>
      </c>
    </row>
    <row r="79" spans="1:11" x14ac:dyDescent="0.35">
      <c r="A79" s="12" t="s">
        <v>211</v>
      </c>
      <c r="B79" s="12" t="s">
        <v>212</v>
      </c>
      <c r="C79" s="13">
        <f>AVERAGE(C77:C78)</f>
        <v>480006.40695652179</v>
      </c>
    </row>
    <row r="80" spans="1:11" x14ac:dyDescent="0.35">
      <c r="A80" s="12" t="s">
        <v>213</v>
      </c>
      <c r="B80" s="12" t="s">
        <v>214</v>
      </c>
      <c r="C80" s="13">
        <f>C79-C16</f>
        <v>501414.40695652179</v>
      </c>
    </row>
    <row r="81" spans="1:11" ht="25" x14ac:dyDescent="0.35">
      <c r="A81" s="2" t="s">
        <v>215</v>
      </c>
      <c r="B81" s="17" t="s">
        <v>216</v>
      </c>
      <c r="C81" s="25">
        <f>C79/Расчёты!C5</f>
        <v>2.6934119291671395</v>
      </c>
    </row>
    <row r="82" spans="1:11" ht="14" customHeight="1" x14ac:dyDescent="0.35">
      <c r="A82" s="47" t="s">
        <v>217</v>
      </c>
      <c r="B82" s="37"/>
      <c r="C82" s="37"/>
      <c r="D82" s="37"/>
      <c r="E82" s="37"/>
      <c r="F82" s="37"/>
      <c r="G82" s="37"/>
      <c r="H82" s="37"/>
      <c r="I82" s="37"/>
      <c r="J82" s="37"/>
      <c r="K82" s="37"/>
    </row>
    <row r="84" spans="1:11" x14ac:dyDescent="0.35">
      <c r="A84" s="48" t="s">
        <v>218</v>
      </c>
      <c r="B84" s="48"/>
      <c r="C84" s="48"/>
      <c r="D84" s="48"/>
      <c r="E84" s="48"/>
      <c r="F84" s="48"/>
      <c r="G84" s="48"/>
      <c r="H84" s="48"/>
      <c r="I84" s="48"/>
      <c r="J84" s="48"/>
      <c r="K84" s="48"/>
    </row>
    <row r="85" spans="1:11" ht="62" customHeight="1" x14ac:dyDescent="0.35">
      <c r="A85" s="47" t="s">
        <v>336</v>
      </c>
      <c r="B85" s="37"/>
      <c r="C85" s="37"/>
      <c r="D85" s="37"/>
      <c r="E85" s="37"/>
      <c r="F85" s="37"/>
      <c r="G85" s="37"/>
      <c r="H85" s="37"/>
      <c r="I85" s="37"/>
      <c r="J85" s="37"/>
      <c r="K85" s="37"/>
    </row>
    <row r="87" spans="1:11" x14ac:dyDescent="0.35">
      <c r="A87" s="36" t="s">
        <v>219</v>
      </c>
      <c r="B87" s="36"/>
      <c r="C87" s="36"/>
      <c r="D87" s="36"/>
      <c r="E87" s="36"/>
      <c r="F87" s="36"/>
      <c r="G87" s="36"/>
      <c r="H87" s="36"/>
      <c r="I87" s="36"/>
      <c r="J87" s="36"/>
      <c r="K87" s="36"/>
    </row>
    <row r="88" spans="1:11" ht="38" customHeight="1" x14ac:dyDescent="0.35">
      <c r="A88" s="47" t="s">
        <v>337</v>
      </c>
      <c r="B88" s="37"/>
      <c r="C88" s="37"/>
      <c r="D88" s="37"/>
      <c r="E88" s="37"/>
      <c r="F88" s="37"/>
      <c r="G88" s="37"/>
      <c r="H88" s="37"/>
      <c r="I88" s="37"/>
      <c r="J88" s="37"/>
      <c r="K88" s="37"/>
    </row>
    <row r="89" spans="1:11" x14ac:dyDescent="0.35">
      <c r="A89" s="48" t="s">
        <v>220</v>
      </c>
      <c r="B89" s="48"/>
      <c r="C89" s="48"/>
      <c r="D89" s="48"/>
      <c r="E89" s="48"/>
      <c r="F89" s="48"/>
      <c r="G89" s="48"/>
      <c r="H89" s="48"/>
      <c r="I89" s="48"/>
      <c r="J89" s="48"/>
      <c r="K89" s="48"/>
    </row>
    <row r="90" spans="1:11" ht="28" customHeight="1" x14ac:dyDescent="0.35">
      <c r="A90" s="18" t="s">
        <v>221</v>
      </c>
      <c r="B90" s="18" t="s">
        <v>222</v>
      </c>
      <c r="C90" s="19" t="s">
        <v>92</v>
      </c>
    </row>
    <row r="91" spans="1:11" ht="84" x14ac:dyDescent="0.35">
      <c r="A91" s="2" t="s">
        <v>223</v>
      </c>
      <c r="B91" s="17" t="s">
        <v>338</v>
      </c>
      <c r="C91" s="6">
        <v>8.4000000000000005E-2</v>
      </c>
    </row>
    <row r="92" spans="1:11" ht="108" x14ac:dyDescent="0.35">
      <c r="A92" s="2" t="s">
        <v>224</v>
      </c>
      <c r="B92" s="17" t="s">
        <v>225</v>
      </c>
      <c r="C92" s="6">
        <f>C91+0.07</f>
        <v>0.15400000000000003</v>
      </c>
    </row>
    <row r="93" spans="1:11" ht="60" x14ac:dyDescent="0.35">
      <c r="A93" s="2" t="s">
        <v>226</v>
      </c>
      <c r="B93" s="17" t="s">
        <v>227</v>
      </c>
      <c r="C93" s="25">
        <v>1.3</v>
      </c>
    </row>
    <row r="94" spans="1:11" x14ac:dyDescent="0.35">
      <c r="A94" s="2" t="s">
        <v>228</v>
      </c>
      <c r="B94" s="17" t="s">
        <v>229</v>
      </c>
      <c r="C94" s="6">
        <f>C91+C93*(C92-C91)</f>
        <v>0.17500000000000004</v>
      </c>
    </row>
    <row r="96" spans="1:11" ht="24" x14ac:dyDescent="0.35">
      <c r="A96" s="2" t="s">
        <v>230</v>
      </c>
      <c r="B96" s="17" t="s">
        <v>231</v>
      </c>
      <c r="C96" s="6">
        <f>C20/(C20+C15)</f>
        <v>0.81988657338865645</v>
      </c>
    </row>
    <row r="97" spans="1:11" x14ac:dyDescent="0.35">
      <c r="A97" s="2" t="s">
        <v>232</v>
      </c>
      <c r="B97" s="17" t="s">
        <v>233</v>
      </c>
      <c r="C97" s="6">
        <f>C15/(C20+C15)</f>
        <v>0.18011342661134352</v>
      </c>
    </row>
    <row r="98" spans="1:11" ht="24" x14ac:dyDescent="0.35">
      <c r="A98" s="2" t="s">
        <v>234</v>
      </c>
      <c r="B98" s="17" t="s">
        <v>235</v>
      </c>
      <c r="C98" s="6">
        <f>1-Допущения!J35</f>
        <v>0.8</v>
      </c>
    </row>
    <row r="99" spans="1:11" ht="60" x14ac:dyDescent="0.35">
      <c r="A99" s="2" t="s">
        <v>236</v>
      </c>
      <c r="B99" s="17" t="s">
        <v>237</v>
      </c>
      <c r="C99" s="6">
        <v>0.1</v>
      </c>
    </row>
    <row r="100" spans="1:11" x14ac:dyDescent="0.35">
      <c r="A100" s="12" t="s">
        <v>238</v>
      </c>
      <c r="B100" s="12" t="s">
        <v>239</v>
      </c>
      <c r="C100" s="26">
        <f>C96*C94+C97*C98*C99</f>
        <v>0.15788922447192241</v>
      </c>
    </row>
    <row r="101" spans="1:11" ht="38" customHeight="1" x14ac:dyDescent="0.35">
      <c r="A101" s="47" t="s">
        <v>240</v>
      </c>
      <c r="B101" s="37"/>
      <c r="C101" s="37"/>
      <c r="D101" s="37"/>
      <c r="E101" s="37"/>
      <c r="F101" s="37"/>
      <c r="G101" s="37"/>
      <c r="H101" s="37"/>
      <c r="I101" s="37"/>
      <c r="J101" s="37"/>
      <c r="K101" s="37"/>
    </row>
    <row r="103" spans="1:11" x14ac:dyDescent="0.35">
      <c r="A103" s="48" t="s">
        <v>241</v>
      </c>
      <c r="B103" s="48"/>
      <c r="C103" s="48"/>
      <c r="D103" s="48"/>
      <c r="E103" s="48"/>
      <c r="F103" s="48"/>
      <c r="G103" s="48"/>
      <c r="H103" s="48"/>
      <c r="I103" s="48"/>
      <c r="J103" s="48"/>
      <c r="K103" s="48"/>
    </row>
    <row r="104" spans="1:11" ht="28" customHeight="1" x14ac:dyDescent="0.35">
      <c r="A104" s="18" t="s">
        <v>221</v>
      </c>
      <c r="B104" s="18" t="s">
        <v>222</v>
      </c>
      <c r="C104" s="19" t="s">
        <v>92</v>
      </c>
    </row>
    <row r="105" spans="1:11" ht="72" x14ac:dyDescent="0.35">
      <c r="A105" s="2" t="s">
        <v>242</v>
      </c>
      <c r="B105" s="17" t="s">
        <v>243</v>
      </c>
      <c r="C105" s="6">
        <v>0.04</v>
      </c>
    </row>
    <row r="106" spans="1:11" ht="60" x14ac:dyDescent="0.35">
      <c r="A106" s="2" t="s">
        <v>244</v>
      </c>
      <c r="B106" s="17" t="s">
        <v>245</v>
      </c>
      <c r="C106" s="6">
        <f>Расчёты!J15/Расчёты!J5</f>
        <v>2.4000000000000018E-2</v>
      </c>
    </row>
    <row r="107" spans="1:11" ht="84" x14ac:dyDescent="0.35">
      <c r="A107" s="2" t="s">
        <v>246</v>
      </c>
      <c r="B107" s="17" t="s">
        <v>247</v>
      </c>
      <c r="C107" s="6">
        <v>-0.26500000000000001</v>
      </c>
    </row>
    <row r="108" spans="1:11" ht="60" x14ac:dyDescent="0.35">
      <c r="A108" s="2" t="s">
        <v>248</v>
      </c>
      <c r="B108" s="17" t="s">
        <v>249</v>
      </c>
      <c r="C108" s="6">
        <f>Допущения!J35</f>
        <v>0.2</v>
      </c>
    </row>
    <row r="110" spans="1:11" x14ac:dyDescent="0.35">
      <c r="A110" s="48" t="s">
        <v>250</v>
      </c>
      <c r="B110" s="48"/>
      <c r="C110" s="48"/>
      <c r="D110" s="48"/>
      <c r="E110" s="48"/>
      <c r="F110" s="48"/>
      <c r="G110" s="48"/>
      <c r="H110" s="48"/>
      <c r="I110" s="48"/>
      <c r="J110" s="48"/>
      <c r="K110" s="48"/>
    </row>
    <row r="111" spans="1:11" ht="39" x14ac:dyDescent="0.35">
      <c r="A111" s="18" t="s">
        <v>55</v>
      </c>
      <c r="B111" s="18" t="s">
        <v>10</v>
      </c>
      <c r="C111" s="27">
        <f>Допущения!C6</f>
        <v>2021</v>
      </c>
      <c r="D111" s="27">
        <f>Допущения!D6</f>
        <v>2022</v>
      </c>
      <c r="E111" s="27">
        <f>Допущения!E6</f>
        <v>2023</v>
      </c>
      <c r="F111" s="27">
        <f>Допущения!F6</f>
        <v>2024</v>
      </c>
      <c r="G111" s="27">
        <f>Допущения!G6</f>
        <v>2025</v>
      </c>
      <c r="H111" s="27">
        <f>Допущения!H6</f>
        <v>2026</v>
      </c>
      <c r="I111" s="27">
        <f>Допущения!I6</f>
        <v>2027</v>
      </c>
      <c r="J111" s="27">
        <f>Допущения!J6</f>
        <v>2028</v>
      </c>
      <c r="K111" s="19" t="s">
        <v>251</v>
      </c>
    </row>
    <row r="112" spans="1:11" ht="48" x14ac:dyDescent="0.35">
      <c r="A112" s="2" t="s">
        <v>57</v>
      </c>
      <c r="B112" s="17" t="s">
        <v>252</v>
      </c>
      <c r="C112" s="7">
        <f>Расчёты!C5</f>
        <v>178215</v>
      </c>
      <c r="D112" s="7">
        <f>Расчёты!D5</f>
        <v>277115</v>
      </c>
      <c r="E112" s="7">
        <f>Расчёты!E5</f>
        <v>424291</v>
      </c>
      <c r="F112" s="7">
        <f>Расчёты!F5</f>
        <v>612848.80000000005</v>
      </c>
      <c r="G112" s="7">
        <f>Расчёты!G5</f>
        <v>820684.47999999986</v>
      </c>
      <c r="H112" s="7">
        <f>Расчёты!H5</f>
        <v>1050662.6536000001</v>
      </c>
      <c r="I112" s="7">
        <f>Расчёты!I5</f>
        <v>1305362.8280447999</v>
      </c>
      <c r="J112" s="7">
        <f>Расчёты!J5</f>
        <v>1551657.7012607995</v>
      </c>
      <c r="K112" s="7">
        <f>J112</f>
        <v>1551657.7012607995</v>
      </c>
    </row>
    <row r="113" spans="1:11" ht="36" x14ac:dyDescent="0.35">
      <c r="A113" s="2" t="s">
        <v>253</v>
      </c>
      <c r="B113" s="17" t="s">
        <v>254</v>
      </c>
      <c r="C113" s="7">
        <f>Расчёты!C15</f>
        <v>-58856</v>
      </c>
      <c r="D113" s="7">
        <f>Расчёты!D15</f>
        <v>-44149</v>
      </c>
      <c r="E113" s="7">
        <f>Расчёты!E15</f>
        <v>-32755</v>
      </c>
      <c r="F113" s="7">
        <f>Расчёты!F15</f>
        <v>-26352.498400000026</v>
      </c>
      <c r="G113" s="7">
        <f>Расчёты!G15</f>
        <v>-13951.636160000038</v>
      </c>
      <c r="H113" s="7">
        <f>Расчёты!H15</f>
        <v>1050.6626535999821</v>
      </c>
      <c r="I113" s="7">
        <f>Расчёты!I15</f>
        <v>18275.079592627328</v>
      </c>
      <c r="J113" s="7">
        <f>Расчёты!J15</f>
        <v>37239.784830259217</v>
      </c>
      <c r="K113" s="7">
        <f>K112*$C$106</f>
        <v>37239.784830259217</v>
      </c>
    </row>
    <row r="114" spans="1:11" x14ac:dyDescent="0.35">
      <c r="A114" s="2" t="s">
        <v>67</v>
      </c>
      <c r="B114" s="17" t="s">
        <v>255</v>
      </c>
      <c r="C114" s="6">
        <f t="shared" ref="C114:K114" si="1">C113/C112</f>
        <v>-0.33025278455797774</v>
      </c>
      <c r="D114" s="6">
        <f t="shared" si="1"/>
        <v>-0.15931652923876369</v>
      </c>
      <c r="E114" s="6">
        <f t="shared" si="1"/>
        <v>-7.7199374957281672E-2</v>
      </c>
      <c r="F114" s="6">
        <f t="shared" si="1"/>
        <v>-4.3000000000000038E-2</v>
      </c>
      <c r="G114" s="6">
        <f t="shared" si="1"/>
        <v>-1.700000000000005E-2</v>
      </c>
      <c r="H114" s="6">
        <f t="shared" si="1"/>
        <v>9.9999999999998289E-4</v>
      </c>
      <c r="I114" s="6">
        <f t="shared" si="1"/>
        <v>1.4000000000000099E-2</v>
      </c>
      <c r="J114" s="6">
        <f t="shared" si="1"/>
        <v>2.4000000000000018E-2</v>
      </c>
      <c r="K114" s="6">
        <f t="shared" si="1"/>
        <v>2.4000000000000018E-2</v>
      </c>
    </row>
    <row r="115" spans="1:11" ht="48" x14ac:dyDescent="0.35">
      <c r="A115" s="2" t="s">
        <v>256</v>
      </c>
      <c r="B115" s="17" t="s">
        <v>257</v>
      </c>
      <c r="D115" s="7">
        <f t="shared" ref="D115:K115" si="2">IF(D113&gt;0,-D113*$C$108,0)</f>
        <v>0</v>
      </c>
      <c r="E115" s="7">
        <f t="shared" si="2"/>
        <v>0</v>
      </c>
      <c r="F115" s="7">
        <f t="shared" si="2"/>
        <v>0</v>
      </c>
      <c r="G115" s="7">
        <f t="shared" si="2"/>
        <v>0</v>
      </c>
      <c r="H115" s="7">
        <f t="shared" si="2"/>
        <v>-210.13253071999645</v>
      </c>
      <c r="I115" s="7">
        <f t="shared" si="2"/>
        <v>-3655.0159185254656</v>
      </c>
      <c r="J115" s="7">
        <f t="shared" si="2"/>
        <v>-7447.9569660518437</v>
      </c>
      <c r="K115" s="7">
        <f t="shared" si="2"/>
        <v>-7447.9569660518437</v>
      </c>
    </row>
    <row r="116" spans="1:11" x14ac:dyDescent="0.35">
      <c r="A116" s="2" t="s">
        <v>258</v>
      </c>
      <c r="B116" s="17" t="s">
        <v>259</v>
      </c>
      <c r="D116" s="7">
        <f t="shared" ref="D116:K116" si="3">D113+D115</f>
        <v>-44149</v>
      </c>
      <c r="E116" s="7">
        <f t="shared" si="3"/>
        <v>-32755</v>
      </c>
      <c r="F116" s="7">
        <f t="shared" si="3"/>
        <v>-26352.498400000026</v>
      </c>
      <c r="G116" s="7">
        <f t="shared" si="3"/>
        <v>-13951.636160000038</v>
      </c>
      <c r="H116" s="7">
        <f t="shared" si="3"/>
        <v>840.5301228799857</v>
      </c>
      <c r="I116" s="7">
        <f t="shared" si="3"/>
        <v>14620.063674101862</v>
      </c>
      <c r="J116" s="7">
        <f t="shared" si="3"/>
        <v>29791.827864207375</v>
      </c>
      <c r="K116" s="7">
        <f t="shared" si="3"/>
        <v>29791.827864207375</v>
      </c>
    </row>
    <row r="117" spans="1:11" ht="36" x14ac:dyDescent="0.35">
      <c r="A117" s="2" t="s">
        <v>260</v>
      </c>
      <c r="B117" s="17" t="s">
        <v>261</v>
      </c>
      <c r="D117" s="7">
        <f>Расчёты!D23</f>
        <v>19770</v>
      </c>
      <c r="E117" s="7">
        <f>Расчёты!E23</f>
        <v>28082</v>
      </c>
      <c r="F117" s="7">
        <f>Расчёты!F23</f>
        <v>39835.172000000006</v>
      </c>
      <c r="G117" s="7">
        <f>Расчёты!G23</f>
        <v>51703.12223999999</v>
      </c>
      <c r="H117" s="7">
        <f>Расчёты!H23</f>
        <v>64090.421869600003</v>
      </c>
      <c r="I117" s="7">
        <f>Расчёты!I23</f>
        <v>78321.769682687984</v>
      </c>
      <c r="J117" s="7">
        <f>Расчёты!J23</f>
        <v>91547.804374387168</v>
      </c>
      <c r="K117" s="7">
        <f>K112*(Расчёты!J23/Расчёты!J5)</f>
        <v>91547.804374387168</v>
      </c>
    </row>
    <row r="118" spans="1:11" ht="132" x14ac:dyDescent="0.35">
      <c r="A118" s="2" t="s">
        <v>262</v>
      </c>
      <c r="B118" s="17" t="s">
        <v>263</v>
      </c>
      <c r="D118" s="6">
        <v>0.1</v>
      </c>
      <c r="E118" s="6">
        <v>0.09</v>
      </c>
      <c r="F118" s="6">
        <v>0.08</v>
      </c>
      <c r="G118" s="6">
        <v>7.1999999999999995E-2</v>
      </c>
      <c r="H118" s="6">
        <v>6.6000000000000003E-2</v>
      </c>
      <c r="I118" s="6">
        <v>6.2E-2</v>
      </c>
      <c r="J118" s="6">
        <v>5.8999999999999997E-2</v>
      </c>
      <c r="K118" s="6">
        <f>Расчёты!J23/Расчёты!J5</f>
        <v>5.8999999999999997E-2</v>
      </c>
    </row>
    <row r="119" spans="1:11" ht="48" x14ac:dyDescent="0.35">
      <c r="A119" s="2" t="s">
        <v>264</v>
      </c>
      <c r="B119" s="17" t="s">
        <v>265</v>
      </c>
      <c r="D119" s="7">
        <f t="shared" ref="D119:K119" si="4">-D112*D118</f>
        <v>-27711.5</v>
      </c>
      <c r="E119" s="7">
        <f t="shared" si="4"/>
        <v>-38186.189999999995</v>
      </c>
      <c r="F119" s="7">
        <f t="shared" si="4"/>
        <v>-49027.904000000002</v>
      </c>
      <c r="G119" s="7">
        <f t="shared" si="4"/>
        <v>-59089.282559999985</v>
      </c>
      <c r="H119" s="7">
        <f t="shared" si="4"/>
        <v>-69343.735137600015</v>
      </c>
      <c r="I119" s="7">
        <f t="shared" si="4"/>
        <v>-80932.495338777589</v>
      </c>
      <c r="J119" s="7">
        <f t="shared" si="4"/>
        <v>-91547.804374387168</v>
      </c>
      <c r="K119" s="7">
        <f t="shared" si="4"/>
        <v>-91547.804374387168</v>
      </c>
    </row>
    <row r="120" spans="1:11" ht="36" x14ac:dyDescent="0.35">
      <c r="A120" s="2" t="s">
        <v>266</v>
      </c>
      <c r="B120" s="17" t="s">
        <v>267</v>
      </c>
      <c r="C120" s="7">
        <f>26362+6611-89273</f>
        <v>-56300</v>
      </c>
      <c r="D120" s="7">
        <f t="shared" ref="D120:K120" si="5">D112*$C$107</f>
        <v>-73435.475000000006</v>
      </c>
      <c r="E120" s="7">
        <f t="shared" si="5"/>
        <v>-112437.11500000001</v>
      </c>
      <c r="F120" s="7">
        <f t="shared" si="5"/>
        <v>-162404.93200000003</v>
      </c>
      <c r="G120" s="7">
        <f t="shared" si="5"/>
        <v>-217481.38719999997</v>
      </c>
      <c r="H120" s="7">
        <f t="shared" si="5"/>
        <v>-278425.60320400004</v>
      </c>
      <c r="I120" s="7">
        <f t="shared" si="5"/>
        <v>-345921.14943187201</v>
      </c>
      <c r="J120" s="7">
        <f t="shared" si="5"/>
        <v>-411189.29083411192</v>
      </c>
      <c r="K120" s="7">
        <f t="shared" si="5"/>
        <v>-411189.29083411192</v>
      </c>
    </row>
    <row r="121" spans="1:11" ht="96" x14ac:dyDescent="0.35">
      <c r="A121" s="2" t="s">
        <v>268</v>
      </c>
      <c r="B121" s="17" t="s">
        <v>269</v>
      </c>
      <c r="D121" s="7">
        <f t="shared" ref="D121:J121" si="6">-(D120-C120)</f>
        <v>17135.475000000006</v>
      </c>
      <c r="E121" s="7">
        <f t="shared" si="6"/>
        <v>39001.64</v>
      </c>
      <c r="F121" s="7">
        <f t="shared" si="6"/>
        <v>49967.817000000025</v>
      </c>
      <c r="G121" s="7">
        <f t="shared" si="6"/>
        <v>55076.455199999938</v>
      </c>
      <c r="H121" s="7">
        <f t="shared" si="6"/>
        <v>60944.216004000074</v>
      </c>
      <c r="I121" s="7">
        <f t="shared" si="6"/>
        <v>67495.546227871964</v>
      </c>
      <c r="J121" s="7">
        <f t="shared" si="6"/>
        <v>65268.141402239911</v>
      </c>
      <c r="K121" s="7">
        <f>-($C$107*K112*$C$105)</f>
        <v>16447.571633364478</v>
      </c>
    </row>
    <row r="122" spans="1:11" ht="26" x14ac:dyDescent="0.35">
      <c r="A122" s="12" t="s">
        <v>270</v>
      </c>
      <c r="B122" s="12" t="s">
        <v>271</v>
      </c>
      <c r="C122" s="22"/>
      <c r="D122" s="13">
        <f t="shared" ref="D122:K122" si="7">D116+D117+D119+D121</f>
        <v>-34955.024999999994</v>
      </c>
      <c r="E122" s="13">
        <f t="shared" si="7"/>
        <v>-3857.5499999999956</v>
      </c>
      <c r="F122" s="13">
        <f t="shared" si="7"/>
        <v>14422.586600000002</v>
      </c>
      <c r="G122" s="13">
        <f t="shared" si="7"/>
        <v>33738.658719999905</v>
      </c>
      <c r="H122" s="13">
        <f t="shared" si="7"/>
        <v>56531.432858880049</v>
      </c>
      <c r="I122" s="13">
        <f t="shared" si="7"/>
        <v>79504.884245884226</v>
      </c>
      <c r="J122" s="13">
        <f t="shared" si="7"/>
        <v>95059.969266447282</v>
      </c>
      <c r="K122" s="13">
        <f t="shared" si="7"/>
        <v>46239.399497571852</v>
      </c>
    </row>
    <row r="123" spans="1:11" ht="72" x14ac:dyDescent="0.35">
      <c r="A123" s="2" t="s">
        <v>272</v>
      </c>
      <c r="B123" s="17" t="s">
        <v>273</v>
      </c>
      <c r="D123" s="28">
        <v>0.5</v>
      </c>
      <c r="E123" s="28">
        <v>1.5</v>
      </c>
      <c r="F123" s="28">
        <v>2.5</v>
      </c>
      <c r="G123" s="28">
        <v>3.5</v>
      </c>
      <c r="H123" s="28">
        <v>4.5</v>
      </c>
      <c r="I123" s="28">
        <v>5.5</v>
      </c>
      <c r="J123" s="28">
        <v>6.5</v>
      </c>
      <c r="K123" s="28">
        <f>J123</f>
        <v>6.5</v>
      </c>
    </row>
    <row r="124" spans="1:11" ht="24" x14ac:dyDescent="0.35">
      <c r="A124" s="2" t="s">
        <v>274</v>
      </c>
      <c r="B124" s="17" t="s">
        <v>275</v>
      </c>
      <c r="D124" s="29">
        <f t="shared" ref="D124:K124" si="8">1/(1+$C$100)^D123</f>
        <v>0.92932258939250223</v>
      </c>
      <c r="E124" s="29">
        <f t="shared" si="8"/>
        <v>0.8026006026753878</v>
      </c>
      <c r="F124" s="29">
        <f t="shared" si="8"/>
        <v>0.69315836585441004</v>
      </c>
      <c r="G124" s="29">
        <f t="shared" si="8"/>
        <v>0.59863962044429442</v>
      </c>
      <c r="H124" s="29">
        <f t="shared" si="8"/>
        <v>0.51700940624723024</v>
      </c>
      <c r="I124" s="29">
        <f t="shared" si="8"/>
        <v>0.44651024927105809</v>
      </c>
      <c r="J124" s="29">
        <f t="shared" si="8"/>
        <v>0.38562432384211687</v>
      </c>
      <c r="K124" s="29">
        <f t="shared" si="8"/>
        <v>0.38562432384211687</v>
      </c>
    </row>
    <row r="125" spans="1:11" x14ac:dyDescent="0.35">
      <c r="A125" s="2" t="s">
        <v>276</v>
      </c>
      <c r="B125" s="17" t="s">
        <v>277</v>
      </c>
      <c r="D125" s="7">
        <f t="shared" ref="D125:J125" si="9">D122*D124</f>
        <v>-32484.494345279643</v>
      </c>
      <c r="E125" s="7">
        <f t="shared" si="9"/>
        <v>-3096.0719548504385</v>
      </c>
      <c r="F125" s="7">
        <f t="shared" si="9"/>
        <v>9997.1365590497135</v>
      </c>
      <c r="G125" s="7">
        <f t="shared" si="9"/>
        <v>20197.297850440325</v>
      </c>
      <c r="H125" s="7">
        <f t="shared" si="9"/>
        <v>29227.282536674735</v>
      </c>
      <c r="I125" s="7">
        <f t="shared" si="9"/>
        <v>35499.745682896384</v>
      </c>
      <c r="J125" s="7">
        <f t="shared" si="9"/>
        <v>36657.436372826145</v>
      </c>
    </row>
    <row r="127" spans="1:11" x14ac:dyDescent="0.35">
      <c r="A127" s="48" t="s">
        <v>278</v>
      </c>
      <c r="B127" s="48"/>
      <c r="C127" s="48"/>
      <c r="D127" s="48"/>
      <c r="E127" s="48"/>
      <c r="F127" s="48"/>
      <c r="G127" s="48"/>
      <c r="H127" s="48"/>
      <c r="I127" s="48"/>
      <c r="J127" s="48"/>
      <c r="K127" s="48"/>
    </row>
    <row r="128" spans="1:11" ht="28" customHeight="1" x14ac:dyDescent="0.35">
      <c r="A128" s="18" t="s">
        <v>9</v>
      </c>
      <c r="B128" s="18" t="s">
        <v>279</v>
      </c>
      <c r="C128" s="19" t="s">
        <v>92</v>
      </c>
    </row>
    <row r="129" spans="1:11" ht="25" x14ac:dyDescent="0.35">
      <c r="A129" s="2" t="s">
        <v>280</v>
      </c>
      <c r="B129" s="17" t="s">
        <v>281</v>
      </c>
      <c r="C129" s="7">
        <f>SUM(D125:J125)</f>
        <v>95998.33270175723</v>
      </c>
    </row>
    <row r="130" spans="1:11" x14ac:dyDescent="0.35">
      <c r="A130" s="2" t="s">
        <v>282</v>
      </c>
      <c r="B130" s="17" t="s">
        <v>283</v>
      </c>
      <c r="C130" s="7">
        <f>K122</f>
        <v>46239.399497571852</v>
      </c>
    </row>
    <row r="131" spans="1:11" ht="24" x14ac:dyDescent="0.35">
      <c r="A131" s="2" t="s">
        <v>284</v>
      </c>
      <c r="B131" s="17" t="s">
        <v>285</v>
      </c>
      <c r="C131" s="7">
        <f>C130*(1+C105)/(C100-C105)</f>
        <v>407916.63269383914</v>
      </c>
    </row>
    <row r="132" spans="1:11" ht="24" x14ac:dyDescent="0.35">
      <c r="A132" s="2" t="s">
        <v>286</v>
      </c>
      <c r="B132" s="17" t="s">
        <v>287</v>
      </c>
      <c r="C132" s="7">
        <f>C131*K124</f>
        <v>157302.57566651487</v>
      </c>
    </row>
    <row r="133" spans="1:11" x14ac:dyDescent="0.35">
      <c r="A133" s="12" t="s">
        <v>288</v>
      </c>
      <c r="B133" s="12" t="s">
        <v>289</v>
      </c>
      <c r="C133" s="13">
        <f>C129+C132</f>
        <v>253300.9083682721</v>
      </c>
    </row>
    <row r="134" spans="1:11" x14ac:dyDescent="0.35">
      <c r="A134" s="12" t="s">
        <v>213</v>
      </c>
      <c r="B134" s="12" t="s">
        <v>290</v>
      </c>
      <c r="C134" s="13">
        <f>C133-C16</f>
        <v>274708.90836827212</v>
      </c>
    </row>
    <row r="135" spans="1:11" ht="25" x14ac:dyDescent="0.35">
      <c r="A135" s="2" t="s">
        <v>291</v>
      </c>
      <c r="B135" s="17" t="s">
        <v>292</v>
      </c>
      <c r="C135" s="6">
        <f>C132/C133</f>
        <v>0.62101070493523047</v>
      </c>
    </row>
    <row r="136" spans="1:11" ht="25" x14ac:dyDescent="0.35">
      <c r="A136" s="2" t="s">
        <v>293</v>
      </c>
      <c r="B136" s="17" t="s">
        <v>294</v>
      </c>
      <c r="C136" s="25">
        <f>C134/C20</f>
        <v>0.57703739928707176</v>
      </c>
    </row>
    <row r="137" spans="1:11" ht="74" customHeight="1" x14ac:dyDescent="0.35">
      <c r="A137" s="47" t="s">
        <v>339</v>
      </c>
      <c r="B137" s="37"/>
      <c r="C137" s="37"/>
      <c r="D137" s="37"/>
      <c r="E137" s="37"/>
      <c r="F137" s="37"/>
      <c r="G137" s="37"/>
      <c r="H137" s="37"/>
      <c r="I137" s="37"/>
      <c r="J137" s="37"/>
      <c r="K137" s="37"/>
    </row>
    <row r="139" spans="1:11" x14ac:dyDescent="0.35">
      <c r="A139" s="48" t="s">
        <v>295</v>
      </c>
      <c r="B139" s="48"/>
      <c r="C139" s="48"/>
      <c r="D139" s="48"/>
      <c r="E139" s="48"/>
      <c r="F139" s="48"/>
      <c r="G139" s="48"/>
      <c r="H139" s="48"/>
      <c r="I139" s="48"/>
      <c r="J139" s="48"/>
      <c r="K139" s="48"/>
    </row>
    <row r="140" spans="1:11" ht="26" customHeight="1" x14ac:dyDescent="0.35">
      <c r="A140" s="47" t="s">
        <v>296</v>
      </c>
      <c r="B140" s="37"/>
      <c r="C140" s="37"/>
      <c r="D140" s="37"/>
      <c r="E140" s="37"/>
      <c r="F140" s="37"/>
      <c r="G140" s="37"/>
      <c r="H140" s="37"/>
      <c r="I140" s="37"/>
      <c r="J140" s="37"/>
      <c r="K140" s="37"/>
    </row>
    <row r="141" spans="1:11" x14ac:dyDescent="0.35">
      <c r="A141" s="30" t="s">
        <v>297</v>
      </c>
    </row>
    <row r="142" spans="1:11" x14ac:dyDescent="0.35">
      <c r="C142" s="19" t="s">
        <v>298</v>
      </c>
      <c r="D142" s="31">
        <v>0.03</v>
      </c>
      <c r="E142" s="31">
        <v>3.5000000000000003E-2</v>
      </c>
      <c r="F142" s="31">
        <v>0.04</v>
      </c>
      <c r="G142" s="31">
        <v>4.4999999999999998E-2</v>
      </c>
      <c r="H142" s="31">
        <v>0.05</v>
      </c>
    </row>
    <row r="143" spans="1:11" x14ac:dyDescent="0.35">
      <c r="C143" s="32">
        <f>$C$100-0.02</f>
        <v>0.13788922447192242</v>
      </c>
      <c r="D143" s="7">
        <f>NPV($C143,$D$122:$J$122)*(1+$C143)^0.5+($J$112*$C$106*(1-$C$108)-$C$107*$J$112*D$142)*(1+D$142)/($C143-D$142)/(1+$C143)^6.5-$C$16</f>
        <v>302795.28741706908</v>
      </c>
      <c r="E143" s="7">
        <f>NPV($C143,$D$122:$J$122)*(1+$C143)^0.5+($J$112*$C$106*(1-$C$108)-$C$107*$J$112*E$142)*(1+E$142)/($C143-E$142)/(1+$C143)^6.5-$C$16</f>
        <v>321051.71557965822</v>
      </c>
      <c r="F143" s="7">
        <f>NPV($C143,$D$122:$J$122)*(1+$C143)^0.5+($J$112*$C$106*(1-$C$108)-$C$107*$J$112*F$142)*(1+F$142)/($C143-F$142)/(1+$C143)^6.5-$C$16</f>
        <v>341263.85683067975</v>
      </c>
      <c r="G143" s="7">
        <f>NPV($C143,$D$122:$J$122)*(1+$C143)^0.5+($J$112*$C$106*(1-$C$108)-$C$107*$J$112*G$142)*(1+G$142)/($C143-G$142)/(1+$C143)^6.5-$C$16</f>
        <v>363747.52494178736</v>
      </c>
      <c r="H143" s="7">
        <f>NPV($C143,$D$122:$J$122)*(1+$C143)^0.5+($J$112*$C$106*(1-$C$108)-$C$107*$J$112*H$142)*(1+H$142)/($C143-H$142)/(1+$C143)^6.5-$C$16</f>
        <v>388890.40000807855</v>
      </c>
    </row>
    <row r="144" spans="1:11" x14ac:dyDescent="0.35">
      <c r="C144" s="32">
        <f>$C$100-0.01</f>
        <v>0.1478892244719224</v>
      </c>
      <c r="D144" s="7">
        <f>NPV($C144,$D$122:$J$122)*(1+$C144)^0.5+($J$112*$C$106*(1-$C$108)-$C$107*$J$112*D$142)*(1+D$142)/($C144-D$142)/(1+$C144)^6.5-$C$16</f>
        <v>273258.99968296743</v>
      </c>
      <c r="E144" s="7">
        <f>NPV($C144,$D$122:$J$122)*(1+$C144)^0.5+($J$112*$C$106*(1-$C$108)-$C$107*$J$112*E$142)*(1+E$142)/($C144-E$142)/(1+$C144)^6.5-$C$16</f>
        <v>288361.82231561583</v>
      </c>
      <c r="F144" s="7">
        <f>NPV($C144,$D$122:$J$122)*(1+$C144)^0.5+($J$112*$C$106*(1-$C$108)-$C$107*$J$112*F$142)*(1+F$142)/($C144-F$142)/(1+$C144)^6.5-$C$16</f>
        <v>304942.23731184553</v>
      </c>
      <c r="G144" s="7">
        <f>NPV($C144,$D$122:$J$122)*(1+$C144)^0.5+($J$112*$C$106*(1-$C$108)-$C$107*$J$112*G$142)*(1+G$142)/($C144-G$142)/(1+$C144)^6.5-$C$16</f>
        <v>323215.65970240883</v>
      </c>
      <c r="H144" s="7">
        <f>NPV($C144,$D$122:$J$122)*(1+$C144)^0.5+($J$112*$C$106*(1-$C$108)-$C$107*$J$112*H$142)*(1+H$142)/($C144-H$142)/(1+$C144)^6.5-$C$16</f>
        <v>343441.51651874895</v>
      </c>
    </row>
    <row r="145" spans="1:11" x14ac:dyDescent="0.35">
      <c r="C145" s="32">
        <f>$C$100</f>
        <v>0.15788922447192241</v>
      </c>
      <c r="D145" s="7">
        <f>NPV($C145,$D$122:$J$122)*(1+$C145)^0.5+($J$112*$C$106*(1-$C$108)-$C$107*$J$112*D$142)*(1+D$142)/($C145-D$142)/(1+$C145)^6.5-$C$16</f>
        <v>248244.19687700545</v>
      </c>
      <c r="E145" s="7">
        <f>NPV($C145,$D$122:$J$122)*(1+$C145)^0.5+($J$112*$C$106*(1-$C$108)-$C$107*$J$112*E$142)*(1+E$142)/($C145-E$142)/(1+$C145)^6.5-$C$16</f>
        <v>260905.90947767848</v>
      </c>
      <c r="F145" s="13">
        <f>NPV($C145,$D$122:$J$122)*(1+$C145)^0.5+($J$112*$C$106*(1-$C$108)-$C$107*$J$112*F$142)*(1+F$142)/($C145-F$142)/(1+$C145)^6.5-$C$16</f>
        <v>274708.90836827207</v>
      </c>
      <c r="G145" s="7">
        <f>NPV($C145,$D$122:$J$122)*(1+$C145)^0.5+($J$112*$C$106*(1-$C$108)-$C$107*$J$112*G$142)*(1+G$142)/($C145-G$142)/(1+$C145)^6.5-$C$16</f>
        <v>289804.84039044805</v>
      </c>
      <c r="H145" s="7">
        <f>NPV($C145,$D$122:$J$122)*(1+$C145)^0.5+($J$112*$C$106*(1-$C$108)-$C$107*$J$112*H$142)*(1+H$142)/($C145-H$142)/(1+$C145)^6.5-$C$16</f>
        <v>306373.4639683555</v>
      </c>
    </row>
    <row r="146" spans="1:11" x14ac:dyDescent="0.35">
      <c r="C146" s="32">
        <f>$C$100+0.01</f>
        <v>0.16788922447192242</v>
      </c>
      <c r="D146" s="7">
        <f>NPV($C146,$D$122:$J$122)*(1+$C146)^0.5+($J$112*$C$106*(1-$C$108)-$C$107*$J$112*D$142)*(1+D$142)/($C146-D$142)/(1+$C146)^6.5-$C$16</f>
        <v>226784.2602245555</v>
      </c>
      <c r="E146" s="7">
        <f>NPV($C146,$D$122:$J$122)*(1+$C146)^0.5+($J$112*$C$106*(1-$C$108)-$C$107*$J$112*E$142)*(1+E$142)/($C146-E$142)/(1+$C146)^6.5-$C$16</f>
        <v>237519.04471145829</v>
      </c>
      <c r="F146" s="7">
        <f>NPV($C146,$D$122:$J$122)*(1+$C146)^0.5+($J$112*$C$106*(1-$C$108)-$C$107*$J$112*F$142)*(1+F$142)/($C146-F$142)/(1+$C146)^6.5-$C$16</f>
        <v>249151.8335402321</v>
      </c>
      <c r="G146" s="7">
        <f>NPV($C146,$D$122:$J$122)*(1+$C146)^0.5+($J$112*$C$106*(1-$C$108)-$C$107*$J$112*G$142)*(1+G$142)/($C146-G$142)/(1+$C146)^6.5-$C$16</f>
        <v>261792.23815310004</v>
      </c>
      <c r="H146" s="7">
        <f>NPV($C146,$D$122:$J$122)*(1+$C146)^0.5+($J$112*$C$106*(1-$C$108)-$C$107*$J$112*H$142)*(1+H$142)/($C146-H$142)/(1+$C146)^6.5-$C$16</f>
        <v>275568.46565999213</v>
      </c>
    </row>
    <row r="147" spans="1:11" x14ac:dyDescent="0.35">
      <c r="C147" s="32">
        <f>$C$100+0.02</f>
        <v>0.1778892244719224</v>
      </c>
      <c r="D147" s="7">
        <f>NPV($C147,$D$122:$J$122)*(1+$C147)^0.5+($J$112*$C$106*(1-$C$108)-$C$107*$J$112*D$142)*(1+D$142)/($C147-D$142)/(1+$C147)^6.5-$C$16</f>
        <v>208172.32607199921</v>
      </c>
      <c r="E147" s="7">
        <f>NPV($C147,$D$122:$J$122)*(1+$C147)^0.5+($J$112*$C$106*(1-$C$108)-$C$107*$J$112*E$142)*(1+E$142)/($C147-E$142)/(1+$C147)^6.5-$C$16</f>
        <v>217360.74059480341</v>
      </c>
      <c r="F147" s="7">
        <f>NPV($C147,$D$122:$J$122)*(1+$C147)^0.5+($J$112*$C$106*(1-$C$108)-$C$107*$J$112*F$142)*(1+F$142)/($C147-F$142)/(1+$C147)^6.5-$C$16</f>
        <v>227266.95734862279</v>
      </c>
      <c r="G147" s="7">
        <f>NPV($C147,$D$122:$J$122)*(1+$C147)^0.5+($J$112*$C$106*(1-$C$108)-$C$107*$J$112*G$142)*(1+G$142)/($C147-G$142)/(1+$C147)^6.5-$C$16</f>
        <v>237971.99895593105</v>
      </c>
      <c r="H147" s="7">
        <f>NPV($C147,$D$122:$J$122)*(1+$C147)^0.5+($J$112*$C$106*(1-$C$108)-$C$107*$J$112*H$142)*(1+H$142)/($C147-H$142)/(1+$C147)^6.5-$C$16</f>
        <v>249569.55878965964</v>
      </c>
    </row>
    <row r="149" spans="1:11" x14ac:dyDescent="0.35">
      <c r="A149" s="30" t="s">
        <v>299</v>
      </c>
    </row>
    <row r="150" spans="1:11" x14ac:dyDescent="0.35">
      <c r="C150" s="19" t="s">
        <v>300</v>
      </c>
      <c r="D150" s="31">
        <f>$C$106</f>
        <v>2.4000000000000018E-2</v>
      </c>
      <c r="E150" s="31">
        <v>3.5000000000000003E-2</v>
      </c>
      <c r="F150" s="31">
        <v>0.05</v>
      </c>
      <c r="G150" s="31">
        <v>6.5000000000000002E-2</v>
      </c>
      <c r="H150" s="31">
        <v>0.08</v>
      </c>
    </row>
    <row r="151" spans="1:11" x14ac:dyDescent="0.35">
      <c r="C151" s="32">
        <f>$C$100-0.02</f>
        <v>0.13788922447192242</v>
      </c>
      <c r="D151" s="7">
        <f>NPV($C151,$D$122:$J$122)*(1+$C151)^0.5+($J$112*D$150*(1-$C$108)-$C$107*$J$112*$C$105)*(1+$C$105)/($C151-$C$105)/(1+$C151)^6.5-$C$16</f>
        <v>341263.85683067975</v>
      </c>
      <c r="E151" s="7">
        <f>NPV($C151,$D$122:$J$122)*(1+$C151)^0.5+($J$112*E$150*(1-$C$108)-$C$107*$J$112*$C$105)*(1+$C$105)/($C151-$C$105)/(1+$C151)^6.5-$C$16</f>
        <v>403914.73225911777</v>
      </c>
      <c r="F151" s="7">
        <f>NPV($C151,$D$122:$J$122)*(1+$C151)^0.5+($J$112*F$150*(1-$C$108)-$C$107*$J$112*$C$105)*(1+$C$105)/($C151-$C$105)/(1+$C151)^6.5-$C$16</f>
        <v>489347.7442069879</v>
      </c>
      <c r="G151" s="7">
        <f>NPV($C151,$D$122:$J$122)*(1+$C151)^0.5+($J$112*G$150*(1-$C$108)-$C$107*$J$112*$C$105)*(1+$C$105)/($C151-$C$105)/(1+$C151)^6.5-$C$16</f>
        <v>574780.75615485816</v>
      </c>
      <c r="H151" s="7">
        <f>NPV($C151,$D$122:$J$122)*(1+$C151)^0.5+($J$112*H$150*(1-$C$108)-$C$107*$J$112*$C$105)*(1+$C$105)/($C151-$C$105)/(1+$C151)^6.5-$C$16</f>
        <v>660213.76810272818</v>
      </c>
    </row>
    <row r="152" spans="1:11" x14ac:dyDescent="0.35">
      <c r="C152" s="32">
        <f>$C$100-0.01</f>
        <v>0.1478892244719224</v>
      </c>
      <c r="D152" s="7">
        <f>NPV($C152,$D$122:$J$122)*(1+$C152)^0.5+($J$112*D$150*(1-$C$108)-$C$107*$J$112*$C$105)*(1+$C$105)/($C152-$C$105)/(1+$C152)^6.5-$C$16</f>
        <v>304942.23731184553</v>
      </c>
      <c r="E152" s="7">
        <f>NPV($C152,$D$122:$J$122)*(1+$C152)^0.5+($J$112*E$150*(1-$C$108)-$C$107*$J$112*$C$105)*(1+$C$105)/($C152-$C$105)/(1+$C152)^6.5-$C$16</f>
        <v>358643.43817082024</v>
      </c>
      <c r="F152" s="7">
        <f>NPV($C152,$D$122:$J$122)*(1+$C152)^0.5+($J$112*F$150*(1-$C$108)-$C$107*$J$112*$C$105)*(1+$C$105)/($C152-$C$105)/(1+$C152)^6.5-$C$16</f>
        <v>431872.34843305848</v>
      </c>
      <c r="G152" s="7">
        <f>NPV($C152,$D$122:$J$122)*(1+$C152)^0.5+($J$112*G$150*(1-$C$108)-$C$107*$J$112*$C$105)*(1+$C$105)/($C152-$C$105)/(1+$C152)^6.5-$C$16</f>
        <v>505101.25869529683</v>
      </c>
      <c r="H152" s="7">
        <f>NPV($C152,$D$122:$J$122)*(1+$C152)^0.5+($J$112*H$150*(1-$C$108)-$C$107*$J$112*$C$105)*(1+$C$105)/($C152-$C$105)/(1+$C152)^6.5-$C$16</f>
        <v>578330.16895753518</v>
      </c>
    </row>
    <row r="153" spans="1:11" x14ac:dyDescent="0.35">
      <c r="C153" s="32">
        <f>$C$100</f>
        <v>0.15788922447192241</v>
      </c>
      <c r="D153" s="13">
        <f>NPV($C153,$D$122:$J$122)*(1+$C153)^0.5+($J$112*D$150*(1-$C$108)-$C$107*$J$112*$C$105)*(1+$C$105)/($C153-$C$105)/(1+$C153)^6.5-$C$16</f>
        <v>274708.90836827207</v>
      </c>
      <c r="E153" s="7">
        <f>NPV($C153,$D$122:$J$122)*(1+$C153)^0.5+($J$112*E$150*(1-$C$108)-$C$107*$J$112*$C$105)*(1+$C$105)/($C153-$C$105)/(1+$C153)^6.5-$C$16</f>
        <v>321160.67567918915</v>
      </c>
      <c r="F153" s="7">
        <f>NPV($C153,$D$122:$J$122)*(1+$C153)^0.5+($J$112*F$150*(1-$C$108)-$C$107*$J$112*$C$105)*(1+$C$105)/($C153-$C$105)/(1+$C153)^6.5-$C$16</f>
        <v>384503.99473953061</v>
      </c>
      <c r="G153" s="7">
        <f>NPV($C153,$D$122:$J$122)*(1+$C153)^0.5+($J$112*G$150*(1-$C$108)-$C$107*$J$112*$C$105)*(1+$C$105)/($C153-$C$105)/(1+$C153)^6.5-$C$16</f>
        <v>447847.31379987224</v>
      </c>
      <c r="H153" s="7">
        <f>NPV($C153,$D$122:$J$122)*(1+$C153)^0.5+($J$112*H$150*(1-$C$108)-$C$107*$J$112*$C$105)*(1+$C$105)/($C153-$C$105)/(1+$C153)^6.5-$C$16</f>
        <v>511190.63286021369</v>
      </c>
    </row>
    <row r="154" spans="1:11" x14ac:dyDescent="0.35">
      <c r="C154" s="32">
        <f>$C$100+0.01</f>
        <v>0.16788922447192242</v>
      </c>
      <c r="D154" s="7">
        <f>NPV($C154,$D$122:$J$122)*(1+$C154)^0.5+($J$112*D$150*(1-$C$108)-$C$107*$J$112*$C$105)*(1+$C$105)/($C154-$C$105)/(1+$C154)^6.5-$C$16</f>
        <v>249151.8335402321</v>
      </c>
      <c r="E154" s="7">
        <f>NPV($C154,$D$122:$J$122)*(1+$C154)^0.5+($J$112*E$150*(1-$C$108)-$C$107*$J$112*$C$105)*(1+$C$105)/($C154-$C$105)/(1+$C154)^6.5-$C$16</f>
        <v>289643.64859758981</v>
      </c>
      <c r="F154" s="7">
        <f>NPV($C154,$D$122:$J$122)*(1+$C154)^0.5+($J$112*F$150*(1-$C$108)-$C$107*$J$112*$C$105)*(1+$C$105)/($C154-$C$105)/(1+$C154)^6.5-$C$16</f>
        <v>344859.76003944135</v>
      </c>
      <c r="G154" s="7">
        <f>NPV($C154,$D$122:$J$122)*(1+$C154)^0.5+($J$112*G$150*(1-$C$108)-$C$107*$J$112*$C$105)*(1+$C$105)/($C154-$C$105)/(1+$C154)^6.5-$C$16</f>
        <v>400075.87148129288</v>
      </c>
      <c r="H154" s="7">
        <f>NPV($C154,$D$122:$J$122)*(1+$C154)^0.5+($J$112*H$150*(1-$C$108)-$C$107*$J$112*$C$105)*(1+$C$105)/($C154-$C$105)/(1+$C154)^6.5-$C$16</f>
        <v>455291.98292314447</v>
      </c>
    </row>
    <row r="155" spans="1:11" x14ac:dyDescent="0.35">
      <c r="C155" s="32">
        <f>$C$100+0.02</f>
        <v>0.1778892244719224</v>
      </c>
      <c r="D155" s="7">
        <f>NPV($C155,$D$122:$J$122)*(1+$C155)^0.5+($J$112*D$150*(1-$C$108)-$C$107*$J$112*$C$105)*(1+$C$105)/($C155-$C$105)/(1+$C155)^6.5-$C$16</f>
        <v>227266.95734862279</v>
      </c>
      <c r="E155" s="7">
        <f>NPV($C155,$D$122:$J$122)*(1+$C155)^0.5+($J$112*E$150*(1-$C$108)-$C$107*$J$112*$C$105)*(1+$C$105)/($C155-$C$105)/(1+$C155)^6.5-$C$16</f>
        <v>262797.56921799405</v>
      </c>
      <c r="F155" s="7">
        <f>NPV($C155,$D$122:$J$122)*(1+$C155)^0.5+($J$112*F$150*(1-$C$108)-$C$107*$J$112*$C$105)*(1+$C$105)/($C155-$C$105)/(1+$C155)^6.5-$C$16</f>
        <v>311248.40358531859</v>
      </c>
      <c r="G155" s="7">
        <f>NPV($C155,$D$122:$J$122)*(1+$C155)^0.5+($J$112*G$150*(1-$C$108)-$C$107*$J$112*$C$105)*(1+$C$105)/($C155-$C$105)/(1+$C155)^6.5-$C$16</f>
        <v>359699.23795264319</v>
      </c>
      <c r="H155" s="7">
        <f>NPV($C155,$D$122:$J$122)*(1+$C155)^0.5+($J$112*H$150*(1-$C$108)-$C$107*$J$112*$C$105)*(1+$C$105)/($C155-$C$105)/(1+$C155)^6.5-$C$16</f>
        <v>408150.07231996773</v>
      </c>
    </row>
    <row r="156" spans="1:11" ht="38" customHeight="1" x14ac:dyDescent="0.35">
      <c r="A156" s="47" t="s">
        <v>301</v>
      </c>
      <c r="B156" s="37"/>
      <c r="C156" s="37"/>
      <c r="D156" s="37"/>
      <c r="E156" s="37"/>
      <c r="F156" s="37"/>
      <c r="G156" s="37"/>
      <c r="H156" s="37"/>
      <c r="I156" s="37"/>
      <c r="J156" s="37"/>
      <c r="K156" s="37"/>
    </row>
    <row r="158" spans="1:11" x14ac:dyDescent="0.35">
      <c r="A158" s="36" t="s">
        <v>302</v>
      </c>
      <c r="B158" s="36"/>
      <c r="C158" s="36"/>
      <c r="D158" s="36"/>
      <c r="E158" s="36"/>
      <c r="F158" s="36"/>
      <c r="G158" s="36"/>
      <c r="H158" s="36"/>
      <c r="I158" s="36"/>
      <c r="J158" s="36"/>
      <c r="K158" s="36"/>
    </row>
    <row r="159" spans="1:11" ht="45" customHeight="1" x14ac:dyDescent="0.35">
      <c r="A159" s="18" t="s">
        <v>303</v>
      </c>
      <c r="B159" s="18" t="s">
        <v>304</v>
      </c>
      <c r="C159" s="19" t="s">
        <v>305</v>
      </c>
      <c r="D159" s="19" t="s">
        <v>306</v>
      </c>
      <c r="E159" s="19" t="s">
        <v>307</v>
      </c>
      <c r="F159" s="19" t="s">
        <v>308</v>
      </c>
      <c r="G159" s="19" t="s">
        <v>309</v>
      </c>
      <c r="H159" s="19" t="s">
        <v>310</v>
      </c>
    </row>
    <row r="160" spans="1:11" ht="24" x14ac:dyDescent="0.35">
      <c r="A160" s="2" t="s">
        <v>311</v>
      </c>
      <c r="B160" s="17" t="s">
        <v>312</v>
      </c>
      <c r="C160" s="7">
        <f>C133</f>
        <v>253300.9083682721</v>
      </c>
      <c r="D160" s="7">
        <f>C134</f>
        <v>274708.90836827212</v>
      </c>
      <c r="E160" s="7">
        <f>$C$16</f>
        <v>-21408</v>
      </c>
      <c r="F160" s="5">
        <f>D160/$C$18</f>
        <v>1269.3691133190337</v>
      </c>
      <c r="G160" s="25">
        <f>D160/$C$20</f>
        <v>0.57703739928707176</v>
      </c>
      <c r="H160" s="6">
        <v>0.5</v>
      </c>
    </row>
    <row r="161" spans="1:11" ht="24" x14ac:dyDescent="0.35">
      <c r="A161" s="2" t="s">
        <v>313</v>
      </c>
      <c r="B161" s="17" t="s">
        <v>314</v>
      </c>
      <c r="C161" s="7">
        <f>C79</f>
        <v>480006.40695652179</v>
      </c>
      <c r="D161" s="7">
        <f>C80</f>
        <v>501414.40695652179</v>
      </c>
      <c r="E161" s="7">
        <f>$C$16</f>
        <v>-21408</v>
      </c>
      <c r="F161" s="5">
        <f>D161/$C$18</f>
        <v>2316.9250860643015</v>
      </c>
      <c r="G161" s="25">
        <f>D161/$C$20</f>
        <v>1.0532416552264887</v>
      </c>
      <c r="H161" s="6">
        <v>0.4</v>
      </c>
    </row>
    <row r="162" spans="1:11" x14ac:dyDescent="0.35">
      <c r="A162" s="2" t="s">
        <v>315</v>
      </c>
      <c r="B162" s="17" t="s">
        <v>316</v>
      </c>
      <c r="C162" s="7">
        <f>C42</f>
        <v>6233.25</v>
      </c>
      <c r="D162" s="7">
        <f>C41</f>
        <v>27641.25</v>
      </c>
      <c r="E162" s="7">
        <f>$C$16</f>
        <v>-21408</v>
      </c>
      <c r="F162" s="5">
        <f>D162/$C$18</f>
        <v>127.72410334976293</v>
      </c>
      <c r="G162" s="25">
        <f>D162/$C$20</f>
        <v>5.8061586381688457E-2</v>
      </c>
      <c r="H162" s="6">
        <v>0.1</v>
      </c>
    </row>
    <row r="163" spans="1:11" ht="26" x14ac:dyDescent="0.35">
      <c r="A163" s="12" t="s">
        <v>317</v>
      </c>
      <c r="B163" s="12" t="s">
        <v>318</v>
      </c>
      <c r="C163" s="13">
        <f>SUMPRODUCT(C160:C162,H160:H162)</f>
        <v>319276.3419667448</v>
      </c>
      <c r="D163" s="13">
        <f>SUMPRODUCT(D160:D162,H160:H162)</f>
        <v>340684.3419667448</v>
      </c>
      <c r="E163" s="13">
        <f>$C$16</f>
        <v>-21408</v>
      </c>
      <c r="F163" s="33">
        <f>D163/$C$18</f>
        <v>1574.2270014202138</v>
      </c>
      <c r="G163" s="34">
        <f>D163/$C$20</f>
        <v>0.7156215203723002</v>
      </c>
      <c r="H163" s="26">
        <f>SUM(H160:H162)</f>
        <v>1</v>
      </c>
    </row>
    <row r="164" spans="1:11" ht="24" x14ac:dyDescent="0.35">
      <c r="A164" s="2" t="s">
        <v>319</v>
      </c>
      <c r="B164" s="17" t="s">
        <v>320</v>
      </c>
      <c r="C164" s="7">
        <f>C22</f>
        <v>454659.77083716635</v>
      </c>
      <c r="D164" s="7">
        <f>C20</f>
        <v>476067.77083716635</v>
      </c>
      <c r="E164" s="7">
        <f>$C$16</f>
        <v>-21408</v>
      </c>
      <c r="F164" s="5">
        <f>D164/$C$18</f>
        <v>2199.8038859999997</v>
      </c>
      <c r="G164" s="25">
        <f>D164/$C$20</f>
        <v>1</v>
      </c>
    </row>
    <row r="165" spans="1:11" ht="38" customHeight="1" x14ac:dyDescent="0.35">
      <c r="A165" s="47" t="s">
        <v>321</v>
      </c>
      <c r="B165" s="37"/>
      <c r="C165" s="37"/>
      <c r="D165" s="37"/>
      <c r="E165" s="37"/>
      <c r="F165" s="37"/>
      <c r="G165" s="37"/>
      <c r="H165" s="37"/>
      <c r="I165" s="37"/>
      <c r="J165" s="37"/>
      <c r="K165" s="37"/>
    </row>
    <row r="167" spans="1:11" x14ac:dyDescent="0.35">
      <c r="A167" s="36" t="s">
        <v>322</v>
      </c>
      <c r="B167" s="36"/>
      <c r="C167" s="36"/>
      <c r="D167" s="36"/>
      <c r="E167" s="36"/>
      <c r="F167" s="36"/>
      <c r="G167" s="36"/>
      <c r="H167" s="36"/>
      <c r="I167" s="36"/>
      <c r="J167" s="36"/>
      <c r="K167" s="36"/>
    </row>
    <row r="168" spans="1:11" ht="42.25" customHeight="1" x14ac:dyDescent="0.35">
      <c r="A168" s="49" t="s">
        <v>323</v>
      </c>
      <c r="B168" s="37"/>
      <c r="C168" s="37"/>
      <c r="D168" s="37"/>
      <c r="E168" s="37"/>
      <c r="F168" s="37"/>
      <c r="G168" s="37"/>
      <c r="H168" s="37"/>
      <c r="I168" s="37"/>
      <c r="J168" s="37"/>
      <c r="K168" s="37"/>
    </row>
    <row r="170" spans="1:11" ht="55" customHeight="1" x14ac:dyDescent="0.35">
      <c r="A170" s="49" t="s">
        <v>324</v>
      </c>
      <c r="B170" s="37"/>
      <c r="C170" s="37"/>
      <c r="D170" s="37"/>
      <c r="E170" s="37"/>
      <c r="F170" s="37"/>
      <c r="G170" s="37"/>
      <c r="H170" s="37"/>
      <c r="I170" s="37"/>
      <c r="J170" s="37"/>
      <c r="K170" s="37"/>
    </row>
    <row r="172" spans="1:11" ht="55" customHeight="1" x14ac:dyDescent="0.35">
      <c r="A172" s="49" t="s">
        <v>325</v>
      </c>
      <c r="B172" s="37"/>
      <c r="C172" s="37"/>
      <c r="D172" s="37"/>
      <c r="E172" s="37"/>
      <c r="F172" s="37"/>
      <c r="G172" s="37"/>
      <c r="H172" s="37"/>
      <c r="I172" s="37"/>
      <c r="J172" s="37"/>
      <c r="K172" s="37"/>
    </row>
    <row r="174" spans="1:11" ht="80.5" customHeight="1" x14ac:dyDescent="0.35">
      <c r="A174" s="49" t="s">
        <v>326</v>
      </c>
      <c r="B174" s="37"/>
      <c r="C174" s="37"/>
      <c r="D174" s="37"/>
      <c r="E174" s="37"/>
      <c r="F174" s="37"/>
      <c r="G174" s="37"/>
      <c r="H174" s="37"/>
      <c r="I174" s="37"/>
      <c r="J174" s="37"/>
      <c r="K174" s="37"/>
    </row>
    <row r="176" spans="1:11" ht="55" customHeight="1" x14ac:dyDescent="0.35">
      <c r="A176" s="49" t="s">
        <v>327</v>
      </c>
      <c r="B176" s="37"/>
      <c r="C176" s="37"/>
      <c r="D176" s="37"/>
      <c r="E176" s="37"/>
      <c r="F176" s="37"/>
      <c r="G176" s="37"/>
      <c r="H176" s="37"/>
      <c r="I176" s="37"/>
      <c r="J176" s="37"/>
      <c r="K176" s="37"/>
    </row>
    <row r="178" spans="1:11" ht="55" customHeight="1" x14ac:dyDescent="0.35">
      <c r="A178" s="49" t="s">
        <v>328</v>
      </c>
      <c r="B178" s="37"/>
      <c r="C178" s="37"/>
      <c r="D178" s="37"/>
      <c r="E178" s="37"/>
      <c r="F178" s="37"/>
      <c r="G178" s="37"/>
      <c r="H178" s="37"/>
      <c r="I178" s="37"/>
      <c r="J178" s="37"/>
      <c r="K178" s="37"/>
    </row>
    <row r="180" spans="1:11" ht="55" customHeight="1" x14ac:dyDescent="0.35">
      <c r="A180" s="49" t="s">
        <v>329</v>
      </c>
      <c r="B180" s="37"/>
      <c r="C180" s="37"/>
      <c r="D180" s="37"/>
      <c r="E180" s="37"/>
      <c r="F180" s="37"/>
      <c r="G180" s="37"/>
      <c r="H180" s="37"/>
      <c r="I180" s="37"/>
      <c r="J180" s="37"/>
      <c r="K180" s="37"/>
    </row>
    <row r="182" spans="1:11" ht="55" customHeight="1" x14ac:dyDescent="0.35">
      <c r="A182" s="49" t="s">
        <v>330</v>
      </c>
      <c r="B182" s="37"/>
      <c r="C182" s="37"/>
      <c r="D182" s="37"/>
      <c r="E182" s="37"/>
      <c r="F182" s="37"/>
      <c r="G182" s="37"/>
      <c r="H182" s="37"/>
      <c r="I182" s="37"/>
      <c r="J182" s="37"/>
      <c r="K182" s="37"/>
    </row>
  </sheetData>
  <mergeCells count="37">
    <mergeCell ref="A182:K182"/>
    <mergeCell ref="A178:K178"/>
    <mergeCell ref="A180:K180"/>
    <mergeCell ref="A176:K176"/>
    <mergeCell ref="A127:K127"/>
    <mergeCell ref="A167:K167"/>
    <mergeCell ref="A68:K68"/>
    <mergeCell ref="A59:K59"/>
    <mergeCell ref="A172:K172"/>
    <mergeCell ref="A110:K110"/>
    <mergeCell ref="A139:K139"/>
    <mergeCell ref="A88:K88"/>
    <mergeCell ref="A174:K174"/>
    <mergeCell ref="A165:K165"/>
    <mergeCell ref="A168:K168"/>
    <mergeCell ref="A170:K170"/>
    <mergeCell ref="A137:K137"/>
    <mergeCell ref="A140:K140"/>
    <mergeCell ref="A158:K158"/>
    <mergeCell ref="A7:K7"/>
    <mergeCell ref="A71:K71"/>
    <mergeCell ref="A24:K24"/>
    <mergeCell ref="A85:K85"/>
    <mergeCell ref="A101:K101"/>
    <mergeCell ref="A46:K46"/>
    <mergeCell ref="A82:K82"/>
    <mergeCell ref="A43:K43"/>
    <mergeCell ref="A156:K156"/>
    <mergeCell ref="A69:K69"/>
    <mergeCell ref="A45:K45"/>
    <mergeCell ref="A47:K47"/>
    <mergeCell ref="A103:K103"/>
    <mergeCell ref="A89:K89"/>
    <mergeCell ref="A1:K1"/>
    <mergeCell ref="A57:K57"/>
    <mergeCell ref="A84:K84"/>
    <mergeCell ref="A87:K87"/>
  </mergeCells>
  <pageMargins left="0.75" right="0.75" top="1" bottom="1"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Допущения</vt:lpstr>
      <vt:lpstr>Расчёты</vt:lpstr>
      <vt:lpstr>Оценка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Григорий Смирнов</dc:creator>
  <cp:lastModifiedBy>Григорий Смирнов</cp:lastModifiedBy>
  <dcterms:created xsi:type="dcterms:W3CDTF">2026-09-20T15:58:59Z</dcterms:created>
  <dcterms:modified xsi:type="dcterms:W3CDTF">2026-09-22T18:46:55Z</dcterms:modified>
</cp:coreProperties>
</file>