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9040" windowHeight="15840" activeTab="8"/>
  </bookViews>
  <sheets>
    <sheet name="Предпосылки" sheetId="1" r:id="rId1"/>
    <sheet name="Расчеты" sheetId="2" r:id="rId2"/>
    <sheet name="За 3 года на одном листе" sheetId="3" r:id="rId3"/>
    <sheet name="Объемы 1 год" sheetId="4" r:id="rId4"/>
    <sheet name="ОПУ 1 год" sheetId="5" r:id="rId5"/>
    <sheet name="Объемы и ОПУ по годам" sheetId="6" r:id="rId6"/>
    <sheet name="Баланс по годам" sheetId="7" r:id="rId7"/>
    <sheet name="Графические отчеты" sheetId="8" r:id="rId8"/>
    <sheet name="Инвестиционный анализ" sheetId="10" r:id="rId9"/>
  </sheets>
  <calcPr calcId="162913"/>
</workbook>
</file>

<file path=xl/calcChain.xml><?xml version="1.0" encoding="utf-8"?>
<calcChain xmlns="http://schemas.openxmlformats.org/spreadsheetml/2006/main">
  <c r="C40" i="10" l="1"/>
  <c r="C39" i="10"/>
  <c r="C38" i="10"/>
  <c r="B22" i="10"/>
  <c r="B54" i="10" s="1"/>
  <c r="AK14" i="10"/>
  <c r="AC14" i="10"/>
  <c r="U14" i="10"/>
  <c r="P14" i="10"/>
  <c r="M14" i="10"/>
  <c r="E14" i="10"/>
  <c r="AM9" i="10"/>
  <c r="AM14" i="10" s="1"/>
  <c r="AL9" i="10"/>
  <c r="AL14" i="10" s="1"/>
  <c r="AK9" i="10"/>
  <c r="AJ9" i="10"/>
  <c r="AJ14" i="10" s="1"/>
  <c r="AI9" i="10"/>
  <c r="AI14" i="10" s="1"/>
  <c r="AH9" i="10"/>
  <c r="AH14" i="10" s="1"/>
  <c r="AG9" i="10"/>
  <c r="AG14" i="10" s="1"/>
  <c r="AF9" i="10"/>
  <c r="AF14" i="10" s="1"/>
  <c r="AE9" i="10"/>
  <c r="AE14" i="10" s="1"/>
  <c r="AD9" i="10"/>
  <c r="AD14" i="10" s="1"/>
  <c r="AC9" i="10"/>
  <c r="AB9" i="10"/>
  <c r="AB14" i="10" s="1"/>
  <c r="AA9" i="10"/>
  <c r="AA14" i="10" s="1"/>
  <c r="Z9" i="10"/>
  <c r="Z14" i="10" s="1"/>
  <c r="Y9" i="10"/>
  <c r="Y14" i="10" s="1"/>
  <c r="X9" i="10"/>
  <c r="X14" i="10" s="1"/>
  <c r="W9" i="10"/>
  <c r="W14" i="10" s="1"/>
  <c r="V9" i="10"/>
  <c r="V14" i="10" s="1"/>
  <c r="U9" i="10"/>
  <c r="T9" i="10"/>
  <c r="T14" i="10" s="1"/>
  <c r="S9" i="10"/>
  <c r="S14" i="10" s="1"/>
  <c r="R9" i="10"/>
  <c r="R14" i="10" s="1"/>
  <c r="Q9" i="10"/>
  <c r="Q14" i="10" s="1"/>
  <c r="P9" i="10"/>
  <c r="O9" i="10"/>
  <c r="O14" i="10" s="1"/>
  <c r="N9" i="10"/>
  <c r="N14" i="10" s="1"/>
  <c r="M9" i="10"/>
  <c r="L9" i="10"/>
  <c r="L14" i="10" s="1"/>
  <c r="K9" i="10"/>
  <c r="K14" i="10" s="1"/>
  <c r="J9" i="10"/>
  <c r="J14" i="10" s="1"/>
  <c r="I9" i="10"/>
  <c r="I14" i="10" s="1"/>
  <c r="H9" i="10"/>
  <c r="H14" i="10" s="1"/>
  <c r="G9" i="10"/>
  <c r="G14" i="10" s="1"/>
  <c r="F9" i="10"/>
  <c r="F14" i="10" s="1"/>
  <c r="E9" i="10"/>
  <c r="D9" i="10"/>
  <c r="D14" i="10" s="1"/>
  <c r="C9" i="10"/>
  <c r="C14" i="10" s="1"/>
  <c r="AM8" i="10"/>
  <c r="AL8" i="10"/>
  <c r="AK8" i="10"/>
  <c r="AJ8" i="10"/>
  <c r="AI8" i="10"/>
  <c r="AH8" i="10"/>
  <c r="AG8" i="10"/>
  <c r="AF8" i="10"/>
  <c r="AE8" i="10"/>
  <c r="AD8" i="10"/>
  <c r="AC8" i="10"/>
  <c r="AB8" i="10"/>
  <c r="AA8" i="10"/>
  <c r="Z8" i="10"/>
  <c r="Y8" i="10"/>
  <c r="X8" i="10"/>
  <c r="W8" i="10"/>
  <c r="V8" i="10"/>
  <c r="U8" i="10"/>
  <c r="T8" i="10"/>
  <c r="S8" i="10"/>
  <c r="R8" i="10"/>
  <c r="Q8" i="10"/>
  <c r="P8" i="10"/>
  <c r="O8" i="10"/>
  <c r="N8" i="10"/>
  <c r="M8" i="10"/>
  <c r="L8" i="10"/>
  <c r="K8" i="10"/>
  <c r="J8" i="10"/>
  <c r="I8" i="10"/>
  <c r="H8" i="10"/>
  <c r="G8" i="10"/>
  <c r="F8" i="10"/>
  <c r="E8" i="10"/>
  <c r="D8" i="10"/>
  <c r="C8" i="10"/>
  <c r="AM7" i="10"/>
  <c r="AL7" i="10"/>
  <c r="AK7" i="10"/>
  <c r="AJ7" i="10"/>
  <c r="AI7" i="10"/>
  <c r="AH7" i="10"/>
  <c r="AG7" i="10"/>
  <c r="AF7" i="10"/>
  <c r="AE7" i="10"/>
  <c r="AD7" i="10"/>
  <c r="AC7" i="10"/>
  <c r="AB7" i="10"/>
  <c r="AA7" i="10"/>
  <c r="Z7" i="10"/>
  <c r="Y7" i="10"/>
  <c r="X7" i="10"/>
  <c r="W7" i="10"/>
  <c r="V7" i="10"/>
  <c r="U7" i="10"/>
  <c r="T7" i="10"/>
  <c r="S7" i="10"/>
  <c r="R7" i="10"/>
  <c r="Q7" i="10"/>
  <c r="O7" i="10"/>
  <c r="N7" i="10"/>
  <c r="M7" i="10"/>
  <c r="L7" i="10"/>
  <c r="K7" i="10"/>
  <c r="J7" i="10"/>
  <c r="I7" i="10"/>
  <c r="H7" i="10"/>
  <c r="G7" i="10"/>
  <c r="F7" i="10"/>
  <c r="E7" i="10"/>
  <c r="D7" i="10"/>
  <c r="C7" i="10"/>
  <c r="C6" i="10"/>
  <c r="AM5" i="10"/>
  <c r="AL5" i="10"/>
  <c r="AK5" i="10"/>
  <c r="AJ5" i="10"/>
  <c r="AI5" i="10"/>
  <c r="AH5" i="10"/>
  <c r="AG5" i="10"/>
  <c r="AF5" i="10"/>
  <c r="AE5" i="10"/>
  <c r="AD5" i="10"/>
  <c r="AC5" i="10"/>
  <c r="AB5" i="10"/>
  <c r="AA5" i="10"/>
  <c r="Z5" i="10"/>
  <c r="Y5" i="10"/>
  <c r="X5" i="10"/>
  <c r="W5" i="10"/>
  <c r="V5" i="10"/>
  <c r="U5" i="10"/>
  <c r="T5" i="10"/>
  <c r="S5" i="10"/>
  <c r="R5" i="10"/>
  <c r="Q5" i="10"/>
  <c r="P5" i="10"/>
  <c r="O5" i="10"/>
  <c r="N5" i="10"/>
  <c r="M5" i="10"/>
  <c r="L5" i="10"/>
  <c r="K5" i="10"/>
  <c r="J5" i="10"/>
  <c r="I5" i="10"/>
  <c r="H5" i="10"/>
  <c r="G5" i="10"/>
  <c r="F5" i="10"/>
  <c r="E5" i="10"/>
  <c r="D5" i="10"/>
  <c r="C5" i="10"/>
  <c r="C13" i="10" l="1"/>
  <c r="C15" i="10" s="1"/>
  <c r="C25" i="10"/>
  <c r="C54" i="10"/>
  <c r="D54" i="10"/>
  <c r="E54" i="10"/>
  <c r="B23" i="10"/>
  <c r="C16" i="10" s="1"/>
  <c r="F54" i="10"/>
  <c r="E8" i="7"/>
  <c r="D8" i="7"/>
  <c r="C8" i="7"/>
  <c r="B43" i="8" s="1"/>
  <c r="B8" i="7"/>
  <c r="E7" i="7"/>
  <c r="D7" i="7"/>
  <c r="C7" i="7"/>
  <c r="B42" i="8" s="1"/>
  <c r="B7" i="7"/>
  <c r="F37" i="3"/>
  <c r="E37" i="3"/>
  <c r="D37" i="3"/>
  <c r="C37" i="3"/>
  <c r="F36" i="3"/>
  <c r="E36" i="3"/>
  <c r="D36" i="3"/>
  <c r="C36" i="3"/>
  <c r="I212" i="2"/>
  <c r="I211" i="2"/>
  <c r="I210" i="2"/>
  <c r="AT170" i="2"/>
  <c r="AS170" i="2"/>
  <c r="E19" i="7" s="1"/>
  <c r="F48" i="3" s="1"/>
  <c r="AR170" i="2"/>
  <c r="AQ170" i="2"/>
  <c r="AP170" i="2"/>
  <c r="AO170" i="2"/>
  <c r="AN170" i="2"/>
  <c r="AM170" i="2"/>
  <c r="AL170" i="2"/>
  <c r="AK170" i="2"/>
  <c r="AJ170" i="2"/>
  <c r="AI170" i="2"/>
  <c r="AH170" i="2"/>
  <c r="AG170" i="2"/>
  <c r="D19" i="7" s="1"/>
  <c r="E48" i="3" s="1"/>
  <c r="AF170" i="2"/>
  <c r="AE170" i="2"/>
  <c r="AD170" i="2"/>
  <c r="AC170" i="2"/>
  <c r="AB170" i="2"/>
  <c r="AA170" i="2"/>
  <c r="Z170" i="2"/>
  <c r="Y170" i="2"/>
  <c r="X170" i="2"/>
  <c r="W170" i="2"/>
  <c r="V170" i="2"/>
  <c r="U170" i="2"/>
  <c r="C19" i="7" s="1"/>
  <c r="T170" i="2"/>
  <c r="S170" i="2"/>
  <c r="R170" i="2"/>
  <c r="Q170" i="2"/>
  <c r="P170" i="2"/>
  <c r="O170" i="2"/>
  <c r="N170" i="2"/>
  <c r="M170" i="2"/>
  <c r="L170" i="2"/>
  <c r="K170" i="2"/>
  <c r="J170" i="2"/>
  <c r="I170" i="2"/>
  <c r="B19" i="7" s="1"/>
  <c r="C48" i="3" s="1"/>
  <c r="P169" i="2"/>
  <c r="Q169" i="2" s="1"/>
  <c r="I169" i="2"/>
  <c r="B18" i="7" s="1"/>
  <c r="C47" i="3" s="1"/>
  <c r="AT167" i="2"/>
  <c r="AS167" i="2"/>
  <c r="AR167" i="2"/>
  <c r="AQ167" i="2"/>
  <c r="AQ166" i="2" s="1"/>
  <c r="AP167" i="2"/>
  <c r="AP166" i="2" s="1"/>
  <c r="AO167" i="2"/>
  <c r="AO166" i="2" s="1"/>
  <c r="AN167" i="2"/>
  <c r="AM167" i="2"/>
  <c r="AL167" i="2"/>
  <c r="AK167" i="2"/>
  <c r="AJ167" i="2"/>
  <c r="AI167" i="2"/>
  <c r="AI166" i="2" s="1"/>
  <c r="AH167" i="2"/>
  <c r="AH166" i="2" s="1"/>
  <c r="AG167" i="2"/>
  <c r="D16" i="7" s="1"/>
  <c r="E45" i="3" s="1"/>
  <c r="AF167" i="2"/>
  <c r="AE167" i="2"/>
  <c r="AD167" i="2"/>
  <c r="AC167" i="2"/>
  <c r="AB167" i="2"/>
  <c r="AA167" i="2"/>
  <c r="AA166" i="2" s="1"/>
  <c r="Z167" i="2"/>
  <c r="Z166" i="2" s="1"/>
  <c r="Y167" i="2"/>
  <c r="X167" i="2"/>
  <c r="W167" i="2"/>
  <c r="V167" i="2"/>
  <c r="U167" i="2"/>
  <c r="T167" i="2"/>
  <c r="S167" i="2"/>
  <c r="S166" i="2" s="1"/>
  <c r="R167" i="2"/>
  <c r="R166" i="2" s="1"/>
  <c r="Q167" i="2"/>
  <c r="Q166" i="2" s="1"/>
  <c r="P167" i="2"/>
  <c r="O167" i="2"/>
  <c r="N167" i="2"/>
  <c r="M167" i="2"/>
  <c r="L167" i="2"/>
  <c r="K167" i="2"/>
  <c r="K166" i="2" s="1"/>
  <c r="J167" i="2"/>
  <c r="J166" i="2" s="1"/>
  <c r="I167" i="2"/>
  <c r="B16" i="7" s="1"/>
  <c r="C45" i="3" s="1"/>
  <c r="AT166" i="2"/>
  <c r="AS166" i="2"/>
  <c r="AR166" i="2"/>
  <c r="AN166" i="2"/>
  <c r="AM166" i="2"/>
  <c r="AL166" i="2"/>
  <c r="AK166" i="2"/>
  <c r="AJ166" i="2"/>
  <c r="AF166" i="2"/>
  <c r="AE166" i="2"/>
  <c r="AD166" i="2"/>
  <c r="AC166" i="2"/>
  <c r="AB166" i="2"/>
  <c r="X166" i="2"/>
  <c r="W166" i="2"/>
  <c r="V166" i="2"/>
  <c r="U166" i="2"/>
  <c r="T166" i="2"/>
  <c r="P166" i="2"/>
  <c r="O166" i="2"/>
  <c r="N166" i="2"/>
  <c r="M166" i="2"/>
  <c r="L166" i="2"/>
  <c r="J164" i="2"/>
  <c r="J188" i="2" s="1"/>
  <c r="I164" i="2"/>
  <c r="B143" i="2"/>
  <c r="B142" i="2"/>
  <c r="B133" i="2"/>
  <c r="B132" i="2"/>
  <c r="B117" i="2"/>
  <c r="B116" i="2"/>
  <c r="B115" i="2"/>
  <c r="B114" i="2"/>
  <c r="B113" i="2"/>
  <c r="B112" i="2"/>
  <c r="B111" i="2"/>
  <c r="AS103" i="2"/>
  <c r="AS184" i="2" s="1"/>
  <c r="AS185" i="2" s="1"/>
  <c r="AR103" i="2"/>
  <c r="AR184" i="2" s="1"/>
  <c r="AR185" i="2" s="1"/>
  <c r="AQ103" i="2"/>
  <c r="AQ184" i="2" s="1"/>
  <c r="AQ185" i="2" s="1"/>
  <c r="AP103" i="2"/>
  <c r="AP184" i="2" s="1"/>
  <c r="AP185" i="2" s="1"/>
  <c r="AO103" i="2"/>
  <c r="AO184" i="2" s="1"/>
  <c r="AO185" i="2" s="1"/>
  <c r="AN103" i="2"/>
  <c r="AN184" i="2" s="1"/>
  <c r="AN185" i="2" s="1"/>
  <c r="AM103" i="2"/>
  <c r="AM184" i="2" s="1"/>
  <c r="AM185" i="2" s="1"/>
  <c r="AL103" i="2"/>
  <c r="AL184" i="2" s="1"/>
  <c r="AL185" i="2" s="1"/>
  <c r="AK103" i="2"/>
  <c r="AK184" i="2" s="1"/>
  <c r="AK185" i="2" s="1"/>
  <c r="AJ103" i="2"/>
  <c r="AJ184" i="2" s="1"/>
  <c r="AJ185" i="2" s="1"/>
  <c r="AI103" i="2"/>
  <c r="AI184" i="2" s="1"/>
  <c r="AI185" i="2" s="1"/>
  <c r="AH103" i="2"/>
  <c r="AH184" i="2" s="1"/>
  <c r="AG103" i="2"/>
  <c r="AG184" i="2" s="1"/>
  <c r="AG185" i="2" s="1"/>
  <c r="AF103" i="2"/>
  <c r="AF184" i="2" s="1"/>
  <c r="AF185" i="2" s="1"/>
  <c r="AE103" i="2"/>
  <c r="AE184" i="2" s="1"/>
  <c r="AE185" i="2" s="1"/>
  <c r="AD103" i="2"/>
  <c r="AD184" i="2" s="1"/>
  <c r="AD185" i="2" s="1"/>
  <c r="AC103" i="2"/>
  <c r="AC184" i="2" s="1"/>
  <c r="AC185" i="2" s="1"/>
  <c r="AB103" i="2"/>
  <c r="AB184" i="2" s="1"/>
  <c r="AB185" i="2" s="1"/>
  <c r="AA103" i="2"/>
  <c r="AA184" i="2" s="1"/>
  <c r="AA185" i="2" s="1"/>
  <c r="Z103" i="2"/>
  <c r="Z184" i="2" s="1"/>
  <c r="Z185" i="2" s="1"/>
  <c r="Y103" i="2"/>
  <c r="Y184" i="2" s="1"/>
  <c r="Y185" i="2" s="1"/>
  <c r="X103" i="2"/>
  <c r="X184" i="2" s="1"/>
  <c r="X185" i="2" s="1"/>
  <c r="W103" i="2"/>
  <c r="W184" i="2" s="1"/>
  <c r="W185" i="2" s="1"/>
  <c r="U103" i="2"/>
  <c r="U184" i="2" s="1"/>
  <c r="U185" i="2" s="1"/>
  <c r="T103" i="2"/>
  <c r="T184" i="2" s="1"/>
  <c r="T185" i="2" s="1"/>
  <c r="S103" i="2"/>
  <c r="S184" i="2" s="1"/>
  <c r="S185" i="2" s="1"/>
  <c r="R103" i="2"/>
  <c r="R184" i="2" s="1"/>
  <c r="R185" i="2" s="1"/>
  <c r="Q103" i="2"/>
  <c r="Q184" i="2" s="1"/>
  <c r="Q185" i="2" s="1"/>
  <c r="P103" i="2"/>
  <c r="P184" i="2" s="1"/>
  <c r="P185" i="2" s="1"/>
  <c r="O103" i="2"/>
  <c r="O184" i="2" s="1"/>
  <c r="O185" i="2" s="1"/>
  <c r="N103" i="2"/>
  <c r="N184" i="2" s="1"/>
  <c r="N185" i="2" s="1"/>
  <c r="M103" i="2"/>
  <c r="M184" i="2" s="1"/>
  <c r="M185" i="2" s="1"/>
  <c r="L103" i="2"/>
  <c r="L184" i="2" s="1"/>
  <c r="L185" i="2" s="1"/>
  <c r="K103" i="2"/>
  <c r="K184" i="2" s="1"/>
  <c r="K185" i="2" s="1"/>
  <c r="J103" i="2"/>
  <c r="J184" i="2" s="1"/>
  <c r="B29" i="2"/>
  <c r="B28" i="2"/>
  <c r="B27" i="2"/>
  <c r="B24" i="2"/>
  <c r="B23" i="2"/>
  <c r="B22" i="2"/>
  <c r="B21" i="2"/>
  <c r="B20" i="2"/>
  <c r="C116" i="1"/>
  <c r="C115" i="1"/>
  <c r="I149" i="2" s="1"/>
  <c r="C112" i="1"/>
  <c r="C111" i="1"/>
  <c r="J107" i="1"/>
  <c r="I107" i="1"/>
  <c r="C107" i="1" s="1"/>
  <c r="D128" i="2" s="1"/>
  <c r="J106" i="1"/>
  <c r="I106" i="1"/>
  <c r="C106" i="1" s="1"/>
  <c r="D127" i="2" s="1"/>
  <c r="C105" i="1"/>
  <c r="C102" i="1"/>
  <c r="C101" i="1"/>
  <c r="C97" i="1"/>
  <c r="C96" i="1"/>
  <c r="I107" i="2" s="1"/>
  <c r="C94" i="1"/>
  <c r="C93" i="1"/>
  <c r="C92" i="1"/>
  <c r="C90" i="1"/>
  <c r="C88" i="1"/>
  <c r="C87" i="1"/>
  <c r="C86" i="1"/>
  <c r="C85" i="1"/>
  <c r="C84" i="1"/>
  <c r="J93" i="2" s="1"/>
  <c r="C82" i="1"/>
  <c r="C81" i="1"/>
  <c r="C80" i="1"/>
  <c r="C79" i="1"/>
  <c r="C78" i="1"/>
  <c r="J89" i="2" s="1"/>
  <c r="C73" i="1"/>
  <c r="C72" i="1"/>
  <c r="C71" i="1"/>
  <c r="C70" i="1"/>
  <c r="C69" i="1"/>
  <c r="J78" i="2" s="1"/>
  <c r="C67" i="1"/>
  <c r="C66" i="1"/>
  <c r="C65" i="1"/>
  <c r="C64" i="1"/>
  <c r="J73" i="2" s="1"/>
  <c r="C62" i="1"/>
  <c r="C61" i="1"/>
  <c r="C60" i="1"/>
  <c r="C59" i="1"/>
  <c r="J71" i="2" s="1"/>
  <c r="C57" i="1"/>
  <c r="C56" i="1"/>
  <c r="C55" i="1"/>
  <c r="C54" i="1"/>
  <c r="C53" i="1"/>
  <c r="J62" i="2" s="1"/>
  <c r="C51" i="1"/>
  <c r="C50" i="1"/>
  <c r="C49" i="1"/>
  <c r="C48" i="1"/>
  <c r="J60" i="2" s="1"/>
  <c r="C46" i="1"/>
  <c r="C45" i="1"/>
  <c r="C44" i="1"/>
  <c r="C43" i="1"/>
  <c r="J55" i="2" s="1"/>
  <c r="C41" i="1"/>
  <c r="C40" i="1"/>
  <c r="C39" i="1"/>
  <c r="C38" i="1"/>
  <c r="C37" i="1"/>
  <c r="J46" i="2" s="1"/>
  <c r="C33" i="1"/>
  <c r="C32" i="1"/>
  <c r="C31" i="1"/>
  <c r="AQ38" i="2" s="1"/>
  <c r="C28" i="1"/>
  <c r="C26" i="1"/>
  <c r="C25" i="1"/>
  <c r="C24" i="1"/>
  <c r="C23" i="1"/>
  <c r="J9" i="2" s="1"/>
  <c r="C21" i="1"/>
  <c r="AG5" i="2" s="1"/>
  <c r="C20" i="1"/>
  <c r="AF5" i="2" s="1"/>
  <c r="C19" i="1"/>
  <c r="AQ5" i="2" s="1"/>
  <c r="C18" i="1"/>
  <c r="AP5" i="2" s="1"/>
  <c r="C17" i="1"/>
  <c r="AO5" i="2" s="1"/>
  <c r="C16" i="1"/>
  <c r="AN5" i="2" s="1"/>
  <c r="C15" i="1"/>
  <c r="AA5" i="2" s="1"/>
  <c r="C14" i="1"/>
  <c r="Z5" i="2" s="1"/>
  <c r="C13" i="1"/>
  <c r="Y5" i="2" s="1"/>
  <c r="C12" i="1"/>
  <c r="X5" i="2" s="1"/>
  <c r="C11" i="1"/>
  <c r="AI5" i="2" s="1"/>
  <c r="C10" i="1"/>
  <c r="AH5" i="2" s="1"/>
  <c r="C7" i="1"/>
  <c r="C6" i="1"/>
  <c r="C5" i="1"/>
  <c r="J3" i="2" s="1"/>
  <c r="C26" i="10" l="1"/>
  <c r="J64" i="2"/>
  <c r="AD5" i="2"/>
  <c r="AJ5" i="2"/>
  <c r="AL5" i="2"/>
  <c r="AG166" i="2"/>
  <c r="K89" i="2"/>
  <c r="K91" i="2" s="1"/>
  <c r="AR5" i="2"/>
  <c r="L5" i="2"/>
  <c r="AT5" i="2"/>
  <c r="N5" i="2"/>
  <c r="T5" i="2"/>
  <c r="I168" i="2"/>
  <c r="B17" i="7" s="1"/>
  <c r="C46" i="3" s="1"/>
  <c r="V5" i="2"/>
  <c r="P168" i="2"/>
  <c r="C4" i="8"/>
  <c r="C7" i="4"/>
  <c r="J11" i="2"/>
  <c r="K9" i="2"/>
  <c r="C2" i="8"/>
  <c r="K3" i="2"/>
  <c r="AN127" i="2"/>
  <c r="AF127" i="2"/>
  <c r="X127" i="2"/>
  <c r="P127" i="2"/>
  <c r="AM127" i="2"/>
  <c r="AE127" i="2"/>
  <c r="W127" i="2"/>
  <c r="O127" i="2"/>
  <c r="AT127" i="2"/>
  <c r="AL127" i="2"/>
  <c r="AD127" i="2"/>
  <c r="V127" i="2"/>
  <c r="N127" i="2"/>
  <c r="AS127" i="2"/>
  <c r="AK127" i="2"/>
  <c r="AC127" i="2"/>
  <c r="U127" i="2"/>
  <c r="M127" i="2"/>
  <c r="D132" i="2"/>
  <c r="E132" i="2" s="1"/>
  <c r="AR127" i="2"/>
  <c r="AJ127" i="2"/>
  <c r="AB127" i="2"/>
  <c r="T127" i="2"/>
  <c r="L127" i="2"/>
  <c r="AG127" i="2"/>
  <c r="J127" i="2"/>
  <c r="AA127" i="2"/>
  <c r="Z127" i="2"/>
  <c r="AQ127" i="2"/>
  <c r="Y127" i="2"/>
  <c r="AP127" i="2"/>
  <c r="S127" i="2"/>
  <c r="AO127" i="2"/>
  <c r="R127" i="2"/>
  <c r="AI127" i="2"/>
  <c r="Q127" i="2"/>
  <c r="AH127" i="2"/>
  <c r="K127" i="2"/>
  <c r="K46" i="2"/>
  <c r="K60" i="2"/>
  <c r="AB5" i="2"/>
  <c r="K71" i="2"/>
  <c r="L71" i="2" s="1"/>
  <c r="M71" i="2" s="1"/>
  <c r="J95" i="2"/>
  <c r="M5" i="2"/>
  <c r="U5" i="2"/>
  <c r="AC5" i="2"/>
  <c r="AK5" i="2"/>
  <c r="AS5" i="2"/>
  <c r="K38" i="2"/>
  <c r="AO128" i="2"/>
  <c r="AG128" i="2"/>
  <c r="Y128" i="2"/>
  <c r="Q128" i="2"/>
  <c r="AN128" i="2"/>
  <c r="AF128" i="2"/>
  <c r="X128" i="2"/>
  <c r="P128" i="2"/>
  <c r="AM128" i="2"/>
  <c r="AE128" i="2"/>
  <c r="W128" i="2"/>
  <c r="O128" i="2"/>
  <c r="AT128" i="2"/>
  <c r="AL128" i="2"/>
  <c r="AD128" i="2"/>
  <c r="V128" i="2"/>
  <c r="N128" i="2"/>
  <c r="D133" i="2"/>
  <c r="E133" i="2" s="1"/>
  <c r="AS128" i="2"/>
  <c r="AK128" i="2"/>
  <c r="AC128" i="2"/>
  <c r="U128" i="2"/>
  <c r="M128" i="2"/>
  <c r="AP128" i="2"/>
  <c r="AH128" i="2"/>
  <c r="Z128" i="2"/>
  <c r="R128" i="2"/>
  <c r="J128" i="2"/>
  <c r="S128" i="2"/>
  <c r="AR128" i="2"/>
  <c r="L128" i="2"/>
  <c r="AQ128" i="2"/>
  <c r="K128" i="2"/>
  <c r="AJ128" i="2"/>
  <c r="AI128" i="2"/>
  <c r="AB128" i="2"/>
  <c r="AA128" i="2"/>
  <c r="T128" i="2"/>
  <c r="S38" i="2"/>
  <c r="AM40" i="2"/>
  <c r="AE40" i="2"/>
  <c r="W40" i="2"/>
  <c r="O40" i="2"/>
  <c r="AT40" i="2"/>
  <c r="AL40" i="2"/>
  <c r="AD40" i="2"/>
  <c r="V40" i="2"/>
  <c r="N40" i="2"/>
  <c r="AS40" i="2"/>
  <c r="AK40" i="2"/>
  <c r="AC40" i="2"/>
  <c r="U40" i="2"/>
  <c r="M40" i="2"/>
  <c r="AR40" i="2"/>
  <c r="AJ40" i="2"/>
  <c r="AB40" i="2"/>
  <c r="T40" i="2"/>
  <c r="L40" i="2"/>
  <c r="AQ40" i="2"/>
  <c r="AI40" i="2"/>
  <c r="AA40" i="2"/>
  <c r="S40" i="2"/>
  <c r="K40" i="2"/>
  <c r="AP40" i="2"/>
  <c r="AH40" i="2"/>
  <c r="Z40" i="2"/>
  <c r="R40" i="2"/>
  <c r="J40" i="2"/>
  <c r="AN40" i="2"/>
  <c r="AF40" i="2"/>
  <c r="X40" i="2"/>
  <c r="P40" i="2"/>
  <c r="O5" i="2"/>
  <c r="W5" i="2"/>
  <c r="AE5" i="2"/>
  <c r="AM5" i="2"/>
  <c r="AA38" i="2"/>
  <c r="Q40" i="2"/>
  <c r="AS42" i="2"/>
  <c r="AK42" i="2"/>
  <c r="AC42" i="2"/>
  <c r="U42" i="2"/>
  <c r="M42" i="2"/>
  <c r="AR42" i="2"/>
  <c r="AJ42" i="2"/>
  <c r="AB42" i="2"/>
  <c r="T42" i="2"/>
  <c r="L42" i="2"/>
  <c r="AQ42" i="2"/>
  <c r="AI42" i="2"/>
  <c r="AA42" i="2"/>
  <c r="S42" i="2"/>
  <c r="K42" i="2"/>
  <c r="AP42" i="2"/>
  <c r="AH42" i="2"/>
  <c r="Z42" i="2"/>
  <c r="R42" i="2"/>
  <c r="J42" i="2"/>
  <c r="AO42" i="2"/>
  <c r="AG42" i="2"/>
  <c r="Y42" i="2"/>
  <c r="Q42" i="2"/>
  <c r="AN42" i="2"/>
  <c r="AF42" i="2"/>
  <c r="X42" i="2"/>
  <c r="P42" i="2"/>
  <c r="AT42" i="2"/>
  <c r="AL42" i="2"/>
  <c r="AD42" i="2"/>
  <c r="V42" i="2"/>
  <c r="N42" i="2"/>
  <c r="K55" i="2"/>
  <c r="J91" i="2"/>
  <c r="K93" i="2"/>
  <c r="K95" i="2" s="1"/>
  <c r="P5" i="2"/>
  <c r="AI38" i="2"/>
  <c r="Y40" i="2"/>
  <c r="O42" i="2"/>
  <c r="J48" i="2"/>
  <c r="K62" i="2"/>
  <c r="K64" i="2" s="1"/>
  <c r="Q5" i="2"/>
  <c r="AG40" i="2"/>
  <c r="W42" i="2"/>
  <c r="E128" i="2"/>
  <c r="E127" i="2"/>
  <c r="J5" i="2"/>
  <c r="J7" i="2" s="1"/>
  <c r="R5" i="2"/>
  <c r="AO40" i="2"/>
  <c r="AE42" i="2"/>
  <c r="AO38" i="2"/>
  <c r="AG38" i="2"/>
  <c r="Y38" i="2"/>
  <c r="Q38" i="2"/>
  <c r="AN38" i="2"/>
  <c r="AF38" i="2"/>
  <c r="X38" i="2"/>
  <c r="P38" i="2"/>
  <c r="AM38" i="2"/>
  <c r="AE38" i="2"/>
  <c r="W38" i="2"/>
  <c r="O38" i="2"/>
  <c r="AT38" i="2"/>
  <c r="AL38" i="2"/>
  <c r="AD38" i="2"/>
  <c r="V38" i="2"/>
  <c r="N38" i="2"/>
  <c r="AS38" i="2"/>
  <c r="AK38" i="2"/>
  <c r="AC38" i="2"/>
  <c r="U38" i="2"/>
  <c r="M38" i="2"/>
  <c r="AR38" i="2"/>
  <c r="AJ38" i="2"/>
  <c r="AB38" i="2"/>
  <c r="T38" i="2"/>
  <c r="L38" i="2"/>
  <c r="AP38" i="2"/>
  <c r="AH38" i="2"/>
  <c r="Z38" i="2"/>
  <c r="R38" i="2"/>
  <c r="J38" i="2"/>
  <c r="I156" i="2"/>
  <c r="J80" i="2"/>
  <c r="AR105" i="2"/>
  <c r="AR31" i="2" s="1"/>
  <c r="AJ105" i="2"/>
  <c r="AJ31" i="2" s="1"/>
  <c r="AB105" i="2"/>
  <c r="AB31" i="2" s="1"/>
  <c r="T105" i="2"/>
  <c r="T31" i="2" s="1"/>
  <c r="L11" i="5" s="1"/>
  <c r="L105" i="2"/>
  <c r="L31" i="2" s="1"/>
  <c r="D11" i="5" s="1"/>
  <c r="AQ105" i="2"/>
  <c r="AQ31" i="2" s="1"/>
  <c r="AI105" i="2"/>
  <c r="AI31" i="2" s="1"/>
  <c r="AA105" i="2"/>
  <c r="AA31" i="2" s="1"/>
  <c r="S105" i="2"/>
  <c r="S31" i="2" s="1"/>
  <c r="K11" i="5" s="1"/>
  <c r="K105" i="2"/>
  <c r="K31" i="2" s="1"/>
  <c r="C11" i="5" s="1"/>
  <c r="AP105" i="2"/>
  <c r="AP31" i="2" s="1"/>
  <c r="AH105" i="2"/>
  <c r="AH31" i="2" s="1"/>
  <c r="Z105" i="2"/>
  <c r="Z31" i="2" s="1"/>
  <c r="R105" i="2"/>
  <c r="R31" i="2" s="1"/>
  <c r="J11" i="5" s="1"/>
  <c r="J105" i="2"/>
  <c r="J31" i="2" s="1"/>
  <c r="AO105" i="2"/>
  <c r="AO31" i="2" s="1"/>
  <c r="AG105" i="2"/>
  <c r="AG31" i="2" s="1"/>
  <c r="Y105" i="2"/>
  <c r="Y31" i="2" s="1"/>
  <c r="Q105" i="2"/>
  <c r="Q31" i="2" s="1"/>
  <c r="I11" i="5" s="1"/>
  <c r="AT103" i="2"/>
  <c r="AT184" i="2" s="1"/>
  <c r="AT185" i="2" s="1"/>
  <c r="V103" i="2"/>
  <c r="V184" i="2" s="1"/>
  <c r="AN105" i="2"/>
  <c r="AN31" i="2" s="1"/>
  <c r="AF105" i="2"/>
  <c r="AF31" i="2" s="1"/>
  <c r="X105" i="2"/>
  <c r="X31" i="2" s="1"/>
  <c r="P105" i="2"/>
  <c r="P31" i="2" s="1"/>
  <c r="H11" i="5" s="1"/>
  <c r="AM105" i="2"/>
  <c r="AM31" i="2" s="1"/>
  <c r="AE105" i="2"/>
  <c r="AE31" i="2" s="1"/>
  <c r="W105" i="2"/>
  <c r="W31" i="2" s="1"/>
  <c r="O105" i="2"/>
  <c r="O31" i="2" s="1"/>
  <c r="G11" i="5" s="1"/>
  <c r="AT105" i="2"/>
  <c r="AT31" i="2" s="1"/>
  <c r="AL105" i="2"/>
  <c r="AL31" i="2" s="1"/>
  <c r="AD105" i="2"/>
  <c r="AD31" i="2" s="1"/>
  <c r="V105" i="2"/>
  <c r="V31" i="2" s="1"/>
  <c r="N105" i="2"/>
  <c r="N31" i="2" s="1"/>
  <c r="F11" i="5" s="1"/>
  <c r="AS105" i="2"/>
  <c r="AS31" i="2" s="1"/>
  <c r="AK105" i="2"/>
  <c r="AK31" i="2" s="1"/>
  <c r="AC105" i="2"/>
  <c r="AC31" i="2" s="1"/>
  <c r="U105" i="2"/>
  <c r="U31" i="2" s="1"/>
  <c r="M11" i="5" s="1"/>
  <c r="M105" i="2"/>
  <c r="M31" i="2" s="1"/>
  <c r="E11" i="5" s="1"/>
  <c r="I165" i="2"/>
  <c r="K5" i="2"/>
  <c r="S5" i="2"/>
  <c r="AM42" i="2"/>
  <c r="D61" i="3"/>
  <c r="J185" i="2"/>
  <c r="F61" i="3"/>
  <c r="AH185" i="2"/>
  <c r="Q168" i="2"/>
  <c r="R169" i="2"/>
  <c r="R189" i="2" s="1"/>
  <c r="K164" i="2"/>
  <c r="Q189" i="2"/>
  <c r="I166" i="2"/>
  <c r="Y166" i="2"/>
  <c r="D15" i="7"/>
  <c r="E44" i="3" s="1"/>
  <c r="C16" i="7"/>
  <c r="E16" i="7"/>
  <c r="F45" i="3" s="1"/>
  <c r="J169" i="2"/>
  <c r="J189" i="2" s="1"/>
  <c r="J190" i="2" s="1"/>
  <c r="B13" i="7"/>
  <c r="C42" i="3" s="1"/>
  <c r="C15" i="7"/>
  <c r="D44" i="3" s="1"/>
  <c r="E15" i="7"/>
  <c r="F44" i="3" s="1"/>
  <c r="B57" i="8"/>
  <c r="D48" i="3"/>
  <c r="L62" i="2" l="1"/>
  <c r="L64" i="2" s="1"/>
  <c r="L93" i="2"/>
  <c r="L95" i="2" s="1"/>
  <c r="L29" i="2" s="1"/>
  <c r="L89" i="2"/>
  <c r="L91" i="2" s="1"/>
  <c r="J107" i="2"/>
  <c r="K107" i="2" s="1"/>
  <c r="C3" i="8"/>
  <c r="C5" i="4"/>
  <c r="J43" i="2"/>
  <c r="J13" i="2"/>
  <c r="J15" i="2"/>
  <c r="J18" i="2" s="1"/>
  <c r="AB143" i="2"/>
  <c r="AB133" i="2"/>
  <c r="AB138" i="2" s="1"/>
  <c r="J143" i="2"/>
  <c r="J133" i="2"/>
  <c r="J138" i="2" s="1"/>
  <c r="AK143" i="2"/>
  <c r="AK133" i="2"/>
  <c r="AK138" i="2" s="1"/>
  <c r="O143" i="2"/>
  <c r="O133" i="2"/>
  <c r="O138" i="2" s="1"/>
  <c r="Q143" i="2"/>
  <c r="Q133" i="2"/>
  <c r="Q138" i="2" s="1"/>
  <c r="AP142" i="2"/>
  <c r="AP132" i="2"/>
  <c r="AP129" i="2"/>
  <c r="T132" i="2"/>
  <c r="T129" i="2"/>
  <c r="T142" i="2"/>
  <c r="AK142" i="2"/>
  <c r="AK132" i="2"/>
  <c r="AK129" i="2"/>
  <c r="W142" i="2"/>
  <c r="W132" i="2"/>
  <c r="W137" i="2" s="1"/>
  <c r="W129" i="2"/>
  <c r="D2" i="8"/>
  <c r="K73" i="2"/>
  <c r="K7" i="2"/>
  <c r="L3" i="2"/>
  <c r="AI143" i="2"/>
  <c r="AI133" i="2"/>
  <c r="AI138" i="2" s="1"/>
  <c r="R143" i="2"/>
  <c r="R133" i="2"/>
  <c r="R138" i="2" s="1"/>
  <c r="AS143" i="2"/>
  <c r="AS133" i="2"/>
  <c r="AS138" i="2" s="1"/>
  <c r="W143" i="2"/>
  <c r="W133" i="2"/>
  <c r="W138" i="2" s="1"/>
  <c r="Y143" i="2"/>
  <c r="Y133" i="2"/>
  <c r="Y138" i="2" s="1"/>
  <c r="K132" i="2"/>
  <c r="K129" i="2"/>
  <c r="K142" i="2"/>
  <c r="Y142" i="2"/>
  <c r="Y132" i="2"/>
  <c r="Y129" i="2"/>
  <c r="AB132" i="2"/>
  <c r="AB129" i="2"/>
  <c r="AB142" i="2"/>
  <c r="AS142" i="2"/>
  <c r="AS132" i="2"/>
  <c r="AS129" i="2"/>
  <c r="AE142" i="2"/>
  <c r="AE132" i="2"/>
  <c r="AE137" i="2" s="1"/>
  <c r="AE129" i="2"/>
  <c r="K188" i="2"/>
  <c r="L164" i="2"/>
  <c r="D24" i="6"/>
  <c r="B5" i="7"/>
  <c r="C34" i="3" s="1"/>
  <c r="I155" i="2"/>
  <c r="AJ143" i="2"/>
  <c r="AJ133" i="2"/>
  <c r="AJ138" i="2" s="1"/>
  <c r="Z143" i="2"/>
  <c r="Z133" i="2"/>
  <c r="Z138" i="2" s="1"/>
  <c r="AE143" i="2"/>
  <c r="AE133" i="2"/>
  <c r="AE138" i="2" s="1"/>
  <c r="AG143" i="2"/>
  <c r="AG133" i="2"/>
  <c r="AG138" i="2" s="1"/>
  <c r="AH142" i="2"/>
  <c r="AH132" i="2"/>
  <c r="AH137" i="2" s="1"/>
  <c r="AH129" i="2"/>
  <c r="AQ132" i="2"/>
  <c r="AQ129" i="2"/>
  <c r="AQ142" i="2"/>
  <c r="AJ132" i="2"/>
  <c r="AJ137" i="2" s="1"/>
  <c r="AJ129" i="2"/>
  <c r="AJ142" i="2"/>
  <c r="N142" i="2"/>
  <c r="N129" i="2"/>
  <c r="N132" i="2"/>
  <c r="N137" i="2" s="1"/>
  <c r="AM142" i="2"/>
  <c r="AM129" i="2"/>
  <c r="AM132" i="2"/>
  <c r="B15" i="7"/>
  <c r="C44" i="3" s="1"/>
  <c r="D62" i="3"/>
  <c r="K29" i="2"/>
  <c r="K143" i="2"/>
  <c r="K133" i="2"/>
  <c r="K138" i="2" s="1"/>
  <c r="AH143" i="2"/>
  <c r="AH133" i="2"/>
  <c r="AH138" i="2" s="1"/>
  <c r="N143" i="2"/>
  <c r="N133" i="2"/>
  <c r="N138" i="2" s="1"/>
  <c r="AM143" i="2"/>
  <c r="AM133" i="2"/>
  <c r="AM138" i="2" s="1"/>
  <c r="AO143" i="2"/>
  <c r="AO133" i="2"/>
  <c r="AO138" i="2" s="1"/>
  <c r="J29" i="2"/>
  <c r="Q142" i="2"/>
  <c r="Q132" i="2"/>
  <c r="Q137" i="2" s="1"/>
  <c r="Q129" i="2"/>
  <c r="Z142" i="2"/>
  <c r="Z132" i="2"/>
  <c r="Z129" i="2"/>
  <c r="AR132" i="2"/>
  <c r="AR129" i="2"/>
  <c r="AR142" i="2"/>
  <c r="V142" i="2"/>
  <c r="V132" i="2"/>
  <c r="V129" i="2"/>
  <c r="P142" i="2"/>
  <c r="P132" i="2"/>
  <c r="P137" i="2" s="1"/>
  <c r="P129" i="2"/>
  <c r="F62" i="3"/>
  <c r="S169" i="2"/>
  <c r="R168" i="2"/>
  <c r="C24" i="6"/>
  <c r="B11" i="5"/>
  <c r="N11" i="5" s="1"/>
  <c r="AQ143" i="2"/>
  <c r="AQ133" i="2"/>
  <c r="AQ138" i="2" s="1"/>
  <c r="AP143" i="2"/>
  <c r="AP133" i="2"/>
  <c r="AP138" i="2" s="1"/>
  <c r="V143" i="2"/>
  <c r="V133" i="2"/>
  <c r="V138" i="2" s="1"/>
  <c r="P143" i="2"/>
  <c r="P133" i="2"/>
  <c r="P138" i="2" s="1"/>
  <c r="K48" i="2"/>
  <c r="AI132" i="2"/>
  <c r="AI129" i="2"/>
  <c r="AI142" i="2"/>
  <c r="AA132" i="2"/>
  <c r="AA137" i="2" s="1"/>
  <c r="AA129" i="2"/>
  <c r="AA142" i="2"/>
  <c r="AD142" i="2"/>
  <c r="AD132" i="2"/>
  <c r="AD129" i="2"/>
  <c r="X142" i="2"/>
  <c r="X132" i="2"/>
  <c r="X137" i="2" s="1"/>
  <c r="X129" i="2"/>
  <c r="D4" i="8"/>
  <c r="D7" i="4"/>
  <c r="K11" i="2"/>
  <c r="L9" i="2"/>
  <c r="L143" i="2"/>
  <c r="L133" i="2"/>
  <c r="L138" i="2" s="1"/>
  <c r="M143" i="2"/>
  <c r="M133" i="2"/>
  <c r="M138" i="2" s="1"/>
  <c r="AD143" i="2"/>
  <c r="AD133" i="2"/>
  <c r="AD138" i="2" s="1"/>
  <c r="X143" i="2"/>
  <c r="X133" i="2"/>
  <c r="X138" i="2" s="1"/>
  <c r="N71" i="2"/>
  <c r="L60" i="2"/>
  <c r="R142" i="2"/>
  <c r="R132" i="2"/>
  <c r="R129" i="2"/>
  <c r="J142" i="2"/>
  <c r="J132" i="2"/>
  <c r="J129" i="2"/>
  <c r="M142" i="2"/>
  <c r="M132" i="2"/>
  <c r="M129" i="2"/>
  <c r="AL142" i="2"/>
  <c r="AL132" i="2"/>
  <c r="AL137" i="2" s="1"/>
  <c r="AL129" i="2"/>
  <c r="AF142" i="2"/>
  <c r="AF132" i="2"/>
  <c r="AF129" i="2"/>
  <c r="J28" i="2"/>
  <c r="K169" i="2"/>
  <c r="J168" i="2"/>
  <c r="E61" i="3"/>
  <c r="V185" i="2"/>
  <c r="P7" i="10" s="1"/>
  <c r="M89" i="2"/>
  <c r="T143" i="2"/>
  <c r="T133" i="2"/>
  <c r="T138" i="2" s="1"/>
  <c r="AR143" i="2"/>
  <c r="AR133" i="2"/>
  <c r="AR138" i="2" s="1"/>
  <c r="U143" i="2"/>
  <c r="U133" i="2"/>
  <c r="U138" i="2" s="1"/>
  <c r="AL143" i="2"/>
  <c r="AL133" i="2"/>
  <c r="AL138" i="2" s="1"/>
  <c r="AF143" i="2"/>
  <c r="AF133" i="2"/>
  <c r="AF138" i="2" s="1"/>
  <c r="AO142" i="2"/>
  <c r="AO132" i="2"/>
  <c r="AO129" i="2"/>
  <c r="AG142" i="2"/>
  <c r="AG132" i="2"/>
  <c r="AG129" i="2"/>
  <c r="U142" i="2"/>
  <c r="U132" i="2"/>
  <c r="U129" i="2"/>
  <c r="AT142" i="2"/>
  <c r="AT129" i="2"/>
  <c r="AT132" i="2"/>
  <c r="AN142" i="2"/>
  <c r="AN132" i="2"/>
  <c r="AN137" i="2" s="1"/>
  <c r="AN129" i="2"/>
  <c r="B14" i="7"/>
  <c r="C43" i="3" s="1"/>
  <c r="I163" i="2"/>
  <c r="B55" i="8"/>
  <c r="D45" i="3"/>
  <c r="E24" i="6"/>
  <c r="D174" i="2"/>
  <c r="L55" i="2"/>
  <c r="AA143" i="2"/>
  <c r="AA133" i="2"/>
  <c r="AA138" i="2" s="1"/>
  <c r="S143" i="2"/>
  <c r="S133" i="2"/>
  <c r="S138" i="2" s="1"/>
  <c r="AC143" i="2"/>
  <c r="AC133" i="2"/>
  <c r="AC138" i="2" s="1"/>
  <c r="AT143" i="2"/>
  <c r="AT133" i="2"/>
  <c r="AT138" i="2" s="1"/>
  <c r="AN143" i="2"/>
  <c r="AN133" i="2"/>
  <c r="AN138" i="2" s="1"/>
  <c r="L46" i="2"/>
  <c r="K28" i="2"/>
  <c r="S132" i="2"/>
  <c r="S137" i="2" s="1"/>
  <c r="S129" i="2"/>
  <c r="S142" i="2"/>
  <c r="L132" i="2"/>
  <c r="L137" i="2" s="1"/>
  <c r="L129" i="2"/>
  <c r="L142" i="2"/>
  <c r="AC142" i="2"/>
  <c r="AC132" i="2"/>
  <c r="AC137" i="2" s="1"/>
  <c r="AC129" i="2"/>
  <c r="O142" i="2"/>
  <c r="O132" i="2"/>
  <c r="O134" i="2" s="1"/>
  <c r="O99" i="2" s="1"/>
  <c r="O129" i="2"/>
  <c r="J116" i="2" l="1"/>
  <c r="J117" i="2"/>
  <c r="Q144" i="2"/>
  <c r="Q100" i="2" s="1"/>
  <c r="J156" i="2"/>
  <c r="J155" i="2" s="1"/>
  <c r="AO134" i="2"/>
  <c r="AO99" i="2" s="1"/>
  <c r="R134" i="2"/>
  <c r="R99" i="2" s="1"/>
  <c r="M62" i="2"/>
  <c r="M64" i="2" s="1"/>
  <c r="M93" i="2"/>
  <c r="M95" i="2" s="1"/>
  <c r="J144" i="2"/>
  <c r="J100" i="2" s="1"/>
  <c r="AN144" i="2"/>
  <c r="AN100" i="2" s="1"/>
  <c r="AG134" i="2"/>
  <c r="AG99" i="2" s="1"/>
  <c r="J134" i="2"/>
  <c r="J99" i="2" s="1"/>
  <c r="L144" i="2"/>
  <c r="L100" i="2" s="1"/>
  <c r="M134" i="2"/>
  <c r="M99" i="2" s="1"/>
  <c r="AB134" i="2"/>
  <c r="AB99" i="2" s="1"/>
  <c r="O144" i="2"/>
  <c r="O100" i="2" s="1"/>
  <c r="AO144" i="2"/>
  <c r="AO100" i="2" s="1"/>
  <c r="Z144" i="2"/>
  <c r="Z100" i="2" s="1"/>
  <c r="M144" i="2"/>
  <c r="M100" i="2" s="1"/>
  <c r="X139" i="2"/>
  <c r="X98" i="2" s="1"/>
  <c r="W144" i="2"/>
  <c r="W100" i="2" s="1"/>
  <c r="AR134" i="2"/>
  <c r="AR99" i="2" s="1"/>
  <c r="Y134" i="2"/>
  <c r="Y99" i="2" s="1"/>
  <c r="M137" i="2"/>
  <c r="M139" i="2" s="1"/>
  <c r="M98" i="2" s="1"/>
  <c r="P139" i="2"/>
  <c r="P98" i="2" s="1"/>
  <c r="AL144" i="2"/>
  <c r="AL100" i="2" s="1"/>
  <c r="S139" i="2"/>
  <c r="S98" i="2" s="1"/>
  <c r="AN134" i="2"/>
  <c r="AN99" i="2" s="1"/>
  <c r="R144" i="2"/>
  <c r="R100" i="2" s="1"/>
  <c r="AM134" i="2"/>
  <c r="AM99" i="2" s="1"/>
  <c r="AQ134" i="2"/>
  <c r="AQ99" i="2" s="1"/>
  <c r="AE144" i="2"/>
  <c r="AE100" i="2" s="1"/>
  <c r="N144" i="2"/>
  <c r="N100" i="2" s="1"/>
  <c r="Y144" i="2"/>
  <c r="Y100" i="2" s="1"/>
  <c r="U144" i="2"/>
  <c r="U100" i="2" s="1"/>
  <c r="J137" i="2"/>
  <c r="J139" i="2" s="1"/>
  <c r="J98" i="2" s="1"/>
  <c r="P144" i="2"/>
  <c r="P100" i="2" s="1"/>
  <c r="Z134" i="2"/>
  <c r="Z99" i="2" s="1"/>
  <c r="AK134" i="2"/>
  <c r="AK99" i="2" s="1"/>
  <c r="AN139" i="2"/>
  <c r="AN98" i="2" s="1"/>
  <c r="V134" i="2"/>
  <c r="V99" i="2" s="1"/>
  <c r="AH144" i="2"/>
  <c r="AH100" i="2" s="1"/>
  <c r="AB144" i="2"/>
  <c r="AB100" i="2" s="1"/>
  <c r="U134" i="2"/>
  <c r="U99" i="2" s="1"/>
  <c r="AI134" i="2"/>
  <c r="AI99" i="2" s="1"/>
  <c r="AT134" i="2"/>
  <c r="AT99" i="2" s="1"/>
  <c r="AD144" i="2"/>
  <c r="AD100" i="2" s="1"/>
  <c r="AO137" i="2"/>
  <c r="AO139" i="2" s="1"/>
  <c r="AO98" i="2" s="1"/>
  <c r="AF134" i="2"/>
  <c r="AF99" i="2" s="1"/>
  <c r="T134" i="2"/>
  <c r="T99" i="2" s="1"/>
  <c r="D25" i="3"/>
  <c r="C9" i="4"/>
  <c r="J176" i="2"/>
  <c r="J120" i="2"/>
  <c r="L139" i="2"/>
  <c r="L98" i="2" s="1"/>
  <c r="B12" i="7"/>
  <c r="C41" i="3" s="1"/>
  <c r="I162" i="2"/>
  <c r="AL139" i="2"/>
  <c r="AL98" i="2" s="1"/>
  <c r="Q139" i="2"/>
  <c r="Q98" i="2" s="1"/>
  <c r="I202" i="2"/>
  <c r="N139" i="2"/>
  <c r="N98" i="2" s="1"/>
  <c r="E25" i="3"/>
  <c r="AE134" i="2"/>
  <c r="AE99" i="2" s="1"/>
  <c r="K144" i="2"/>
  <c r="K100" i="2" s="1"/>
  <c r="W139" i="2"/>
  <c r="W98" i="2" s="1"/>
  <c r="B6" i="5"/>
  <c r="C21" i="8"/>
  <c r="L188" i="2"/>
  <c r="M164" i="2"/>
  <c r="S168" i="2"/>
  <c r="T169" i="2"/>
  <c r="S189" i="2"/>
  <c r="AJ144" i="2"/>
  <c r="AJ100" i="2" s="1"/>
  <c r="AH134" i="2"/>
  <c r="AH99" i="2" s="1"/>
  <c r="D3" i="8"/>
  <c r="D5" i="4"/>
  <c r="K43" i="2"/>
  <c r="K15" i="2"/>
  <c r="K13" i="2"/>
  <c r="AP134" i="2"/>
  <c r="AP99" i="2" s="1"/>
  <c r="AA139" i="2"/>
  <c r="AA98" i="2" s="1"/>
  <c r="E2" i="8"/>
  <c r="L73" i="2"/>
  <c r="L7" i="2"/>
  <c r="M3" i="2"/>
  <c r="J41" i="2"/>
  <c r="J39" i="2" s="1"/>
  <c r="J82" i="2"/>
  <c r="J75" i="2"/>
  <c r="J77" i="2" s="1"/>
  <c r="R137" i="2"/>
  <c r="R139" i="2" s="1"/>
  <c r="R98" i="2" s="1"/>
  <c r="X144" i="2"/>
  <c r="X100" i="2" s="1"/>
  <c r="AA134" i="2"/>
  <c r="AA99" i="2" s="1"/>
  <c r="V137" i="2"/>
  <c r="V139" i="2" s="1"/>
  <c r="V98" i="2" s="1"/>
  <c r="Z137" i="2"/>
  <c r="Z139" i="2" s="1"/>
  <c r="Z98" i="2" s="1"/>
  <c r="AM137" i="2"/>
  <c r="AM139" i="2" s="1"/>
  <c r="AM98" i="2" s="1"/>
  <c r="AH139" i="2"/>
  <c r="AH98" i="2" s="1"/>
  <c r="B4" i="7"/>
  <c r="C33" i="3" s="1"/>
  <c r="AS134" i="2"/>
  <c r="AS99" i="2" s="1"/>
  <c r="AK137" i="2"/>
  <c r="AK139" i="2" s="1"/>
  <c r="AK98" i="2" s="1"/>
  <c r="AP137" i="2"/>
  <c r="AP139" i="2" s="1"/>
  <c r="AP98" i="2" s="1"/>
  <c r="AE139" i="2"/>
  <c r="AE98" i="2" s="1"/>
  <c r="O137" i="2"/>
  <c r="O139" i="2" s="1"/>
  <c r="O98" i="2" s="1"/>
  <c r="AA144" i="2"/>
  <c r="AA100" i="2" s="1"/>
  <c r="M91" i="2"/>
  <c r="N89" i="2"/>
  <c r="E62" i="3"/>
  <c r="AF137" i="2"/>
  <c r="AF139" i="2" s="1"/>
  <c r="AF98" i="2" s="1"/>
  <c r="AC134" i="2"/>
  <c r="AC99" i="2" s="1"/>
  <c r="S144" i="2"/>
  <c r="S100" i="2" s="1"/>
  <c r="F25" i="3"/>
  <c r="AT137" i="2"/>
  <c r="AT139" i="2" s="1"/>
  <c r="AT98" i="2" s="1"/>
  <c r="AG137" i="2"/>
  <c r="AG139" i="2" s="1"/>
  <c r="AG98" i="2" s="1"/>
  <c r="AF144" i="2"/>
  <c r="AF100" i="2" s="1"/>
  <c r="E4" i="8"/>
  <c r="E7" i="4"/>
  <c r="L11" i="2"/>
  <c r="M9" i="2"/>
  <c r="AI137" i="2"/>
  <c r="AI139" i="2" s="1"/>
  <c r="AI98" i="2" s="1"/>
  <c r="V144" i="2"/>
  <c r="V100" i="2" s="1"/>
  <c r="AM144" i="2"/>
  <c r="AM100" i="2" s="1"/>
  <c r="AJ134" i="2"/>
  <c r="AJ99" i="2" s="1"/>
  <c r="K156" i="2"/>
  <c r="K155" i="2" s="1"/>
  <c r="L107" i="2"/>
  <c r="AS137" i="2"/>
  <c r="AS139" i="2" s="1"/>
  <c r="AS98" i="2" s="1"/>
  <c r="Y137" i="2"/>
  <c r="Y139" i="2" s="1"/>
  <c r="Y98" i="2" s="1"/>
  <c r="AK144" i="2"/>
  <c r="AK100" i="2" s="1"/>
  <c r="AP144" i="2"/>
  <c r="AP100" i="2" s="1"/>
  <c r="M55" i="2"/>
  <c r="AJ139" i="2"/>
  <c r="AJ98" i="2" s="1"/>
  <c r="K134" i="2"/>
  <c r="K99" i="2" s="1"/>
  <c r="L134" i="2"/>
  <c r="L99" i="2" s="1"/>
  <c r="AC139" i="2"/>
  <c r="AC98" i="2" s="1"/>
  <c r="AT144" i="2"/>
  <c r="AT100" i="2" s="1"/>
  <c r="AD134" i="2"/>
  <c r="AD99" i="2" s="1"/>
  <c r="AI144" i="2"/>
  <c r="AI100" i="2" s="1"/>
  <c r="AR137" i="2"/>
  <c r="AR139" i="2" s="1"/>
  <c r="AR98" i="2" s="1"/>
  <c r="N134" i="2"/>
  <c r="N99" i="2" s="1"/>
  <c r="AQ137" i="2"/>
  <c r="AQ139" i="2" s="1"/>
  <c r="AQ98" i="2" s="1"/>
  <c r="L28" i="2"/>
  <c r="AS144" i="2"/>
  <c r="AS100" i="2" s="1"/>
  <c r="T137" i="2"/>
  <c r="T139" i="2" s="1"/>
  <c r="T98" i="2" s="1"/>
  <c r="L48" i="2"/>
  <c r="M46" i="2"/>
  <c r="X134" i="2"/>
  <c r="X99" i="2" s="1"/>
  <c r="AG144" i="2"/>
  <c r="AG100" i="2" s="1"/>
  <c r="M60" i="2"/>
  <c r="AC144" i="2"/>
  <c r="AC100" i="2" s="1"/>
  <c r="S134" i="2"/>
  <c r="S99" i="2" s="1"/>
  <c r="U137" i="2"/>
  <c r="U139" i="2" s="1"/>
  <c r="U98" i="2" s="1"/>
  <c r="K168" i="2"/>
  <c r="L169" i="2"/>
  <c r="K189" i="2"/>
  <c r="AL134" i="2"/>
  <c r="AL99" i="2" s="1"/>
  <c r="O71" i="2"/>
  <c r="AD137" i="2"/>
  <c r="AD139" i="2" s="1"/>
  <c r="AD98" i="2" s="1"/>
  <c r="P134" i="2"/>
  <c r="P99" i="2" s="1"/>
  <c r="AR144" i="2"/>
  <c r="AR100" i="2" s="1"/>
  <c r="Q134" i="2"/>
  <c r="Q99" i="2" s="1"/>
  <c r="AQ144" i="2"/>
  <c r="AQ100" i="2" s="1"/>
  <c r="AB137" i="2"/>
  <c r="AB139" i="2" s="1"/>
  <c r="AB98" i="2" s="1"/>
  <c r="K137" i="2"/>
  <c r="K139" i="2" s="1"/>
  <c r="K98" i="2" s="1"/>
  <c r="W134" i="2"/>
  <c r="W99" i="2" s="1"/>
  <c r="T144" i="2"/>
  <c r="T100" i="2" s="1"/>
  <c r="N62" i="2" l="1"/>
  <c r="N64" i="2" s="1"/>
  <c r="N93" i="2"/>
  <c r="N95" i="2" s="1"/>
  <c r="J97" i="2"/>
  <c r="J27" i="2" s="1"/>
  <c r="P97" i="2"/>
  <c r="P27" i="2" s="1"/>
  <c r="R97" i="2"/>
  <c r="R27" i="2" s="1"/>
  <c r="X97" i="2"/>
  <c r="X27" i="2" s="1"/>
  <c r="AE97" i="2"/>
  <c r="AE27" i="2" s="1"/>
  <c r="K97" i="2"/>
  <c r="K27" i="2" s="1"/>
  <c r="K26" i="2" s="1"/>
  <c r="C9" i="5" s="1"/>
  <c r="O97" i="2"/>
  <c r="O27" i="2" s="1"/>
  <c r="AO97" i="2"/>
  <c r="AO27" i="2" s="1"/>
  <c r="Z97" i="2"/>
  <c r="Z27" i="2" s="1"/>
  <c r="AQ97" i="2"/>
  <c r="AQ27" i="2" s="1"/>
  <c r="AN97" i="2"/>
  <c r="AN27" i="2" s="1"/>
  <c r="M97" i="2"/>
  <c r="M27" i="2" s="1"/>
  <c r="AB97" i="2"/>
  <c r="AB27" i="2" s="1"/>
  <c r="U97" i="2"/>
  <c r="U27" i="2" s="1"/>
  <c r="AH97" i="2"/>
  <c r="AH27" i="2" s="1"/>
  <c r="AI97" i="2"/>
  <c r="AI27" i="2" s="1"/>
  <c r="Y97" i="2"/>
  <c r="Y27" i="2" s="1"/>
  <c r="AM97" i="2"/>
  <c r="AM27" i="2" s="1"/>
  <c r="S97" i="2"/>
  <c r="S27" i="2" s="1"/>
  <c r="AA97" i="2"/>
  <c r="AA27" i="2" s="1"/>
  <c r="AL97" i="2"/>
  <c r="AL27" i="2" s="1"/>
  <c r="AD97" i="2"/>
  <c r="AD27" i="2" s="1"/>
  <c r="AG97" i="2"/>
  <c r="AG27" i="2" s="1"/>
  <c r="K75" i="2"/>
  <c r="K77" i="2" s="1"/>
  <c r="K82" i="2"/>
  <c r="K41" i="2"/>
  <c r="K39" i="2" s="1"/>
  <c r="N55" i="2"/>
  <c r="K18" i="2"/>
  <c r="K116" i="2"/>
  <c r="K117" i="2"/>
  <c r="L97" i="2"/>
  <c r="P71" i="2"/>
  <c r="M48" i="2"/>
  <c r="N46" i="2"/>
  <c r="AC97" i="2"/>
  <c r="AC27" i="2" s="1"/>
  <c r="AT97" i="2"/>
  <c r="AT27" i="2" s="1"/>
  <c r="N91" i="2"/>
  <c r="O89" i="2"/>
  <c r="J84" i="2"/>
  <c r="J86" i="2"/>
  <c r="T168" i="2"/>
  <c r="U169" i="2"/>
  <c r="T189" i="2"/>
  <c r="M28" i="2"/>
  <c r="AP97" i="2"/>
  <c r="AP27" i="2" s="1"/>
  <c r="V97" i="2"/>
  <c r="V27" i="2" s="1"/>
  <c r="J66" i="2"/>
  <c r="J37" i="2"/>
  <c r="B11" i="7"/>
  <c r="C40" i="3" s="1"/>
  <c r="C160" i="2"/>
  <c r="I160" i="2" s="1"/>
  <c r="N60" i="2"/>
  <c r="F4" i="8"/>
  <c r="F7" i="4"/>
  <c r="M11" i="2"/>
  <c r="N9" i="2"/>
  <c r="AK97" i="2"/>
  <c r="AK27" i="2" s="1"/>
  <c r="F2" i="8"/>
  <c r="M73" i="2"/>
  <c r="M7" i="2"/>
  <c r="N3" i="2"/>
  <c r="M188" i="2"/>
  <c r="N164" i="2"/>
  <c r="N97" i="2"/>
  <c r="N27" i="2" s="1"/>
  <c r="L168" i="2"/>
  <c r="M169" i="2"/>
  <c r="L189" i="2"/>
  <c r="AR97" i="2"/>
  <c r="AR27" i="2" s="1"/>
  <c r="AS97" i="2"/>
  <c r="AS27" i="2" s="1"/>
  <c r="E3" i="8"/>
  <c r="E5" i="4"/>
  <c r="L43" i="2"/>
  <c r="L13" i="2"/>
  <c r="L15" i="2"/>
  <c r="K190" i="2"/>
  <c r="T97" i="2"/>
  <c r="T27" i="2" s="1"/>
  <c r="AJ97" i="2"/>
  <c r="AJ27" i="2" s="1"/>
  <c r="L156" i="2"/>
  <c r="L155" i="2" s="1"/>
  <c r="M107" i="2"/>
  <c r="O93" i="2"/>
  <c r="Q97" i="2"/>
  <c r="Q27" i="2" s="1"/>
  <c r="J114" i="2"/>
  <c r="J23" i="2"/>
  <c r="AF97" i="2"/>
  <c r="AF27" i="2" s="1"/>
  <c r="M29" i="2"/>
  <c r="D9" i="4"/>
  <c r="K176" i="2"/>
  <c r="K120" i="2"/>
  <c r="W97" i="2"/>
  <c r="W27" i="2" s="1"/>
  <c r="O62" i="2" l="1"/>
  <c r="O64" i="2" s="1"/>
  <c r="J178" i="2"/>
  <c r="K178" i="2"/>
  <c r="M178" i="2"/>
  <c r="E20" i="6"/>
  <c r="F21" i="3" s="1"/>
  <c r="L190" i="2"/>
  <c r="B9" i="7"/>
  <c r="C38" i="3" s="1"/>
  <c r="J192" i="2"/>
  <c r="I157" i="2"/>
  <c r="M26" i="2"/>
  <c r="E9" i="5" s="1"/>
  <c r="C18" i="7"/>
  <c r="U168" i="2"/>
  <c r="V169" i="2"/>
  <c r="U189" i="2"/>
  <c r="D21" i="8"/>
  <c r="C6" i="5"/>
  <c r="K78" i="2"/>
  <c r="K66" i="2"/>
  <c r="K37" i="2"/>
  <c r="O95" i="2"/>
  <c r="P93" i="2"/>
  <c r="L75" i="2"/>
  <c r="L77" i="2" s="1"/>
  <c r="L82" i="2"/>
  <c r="L41" i="2"/>
  <c r="L39" i="2" s="1"/>
  <c r="M156" i="2"/>
  <c r="M155" i="2" s="1"/>
  <c r="N107" i="2"/>
  <c r="F3" i="8"/>
  <c r="F5" i="4"/>
  <c r="M13" i="2"/>
  <c r="M43" i="2"/>
  <c r="M15" i="2"/>
  <c r="J115" i="2"/>
  <c r="J24" i="2"/>
  <c r="N48" i="2"/>
  <c r="O46" i="2"/>
  <c r="K114" i="2"/>
  <c r="K23" i="2"/>
  <c r="G2" i="8"/>
  <c r="N73" i="2"/>
  <c r="N7" i="2"/>
  <c r="O3" i="2"/>
  <c r="L27" i="2"/>
  <c r="L26" i="2" s="1"/>
  <c r="D9" i="5" s="1"/>
  <c r="L178" i="2"/>
  <c r="Q71" i="2"/>
  <c r="O60" i="2"/>
  <c r="J50" i="2"/>
  <c r="J57" i="2"/>
  <c r="J59" i="2" s="1"/>
  <c r="J70" i="2"/>
  <c r="J68" i="2"/>
  <c r="O178" i="2"/>
  <c r="O91" i="2"/>
  <c r="P89" i="2"/>
  <c r="J26" i="2"/>
  <c r="O55" i="2"/>
  <c r="N29" i="2"/>
  <c r="L18" i="2"/>
  <c r="L117" i="2"/>
  <c r="L116" i="2"/>
  <c r="M168" i="2"/>
  <c r="N169" i="2"/>
  <c r="M189" i="2"/>
  <c r="M190" i="2" s="1"/>
  <c r="O164" i="2"/>
  <c r="N188" i="2"/>
  <c r="G4" i="8"/>
  <c r="G7" i="4"/>
  <c r="O9" i="2"/>
  <c r="N11" i="2"/>
  <c r="D20" i="6"/>
  <c r="N28" i="2"/>
  <c r="E9" i="4"/>
  <c r="L176" i="2"/>
  <c r="L120" i="2"/>
  <c r="N178" i="2"/>
  <c r="P62" i="2" l="1"/>
  <c r="P64" i="2" s="1"/>
  <c r="N26" i="2"/>
  <c r="F9" i="5" s="1"/>
  <c r="C20" i="6"/>
  <c r="D21" i="3" s="1"/>
  <c r="B9" i="5"/>
  <c r="M18" i="2"/>
  <c r="M117" i="2"/>
  <c r="M116" i="2"/>
  <c r="V168" i="2"/>
  <c r="W169" i="2"/>
  <c r="V189" i="2"/>
  <c r="O188" i="2"/>
  <c r="P164" i="2"/>
  <c r="P178" i="2"/>
  <c r="P91" i="2"/>
  <c r="Q89" i="2"/>
  <c r="F9" i="4"/>
  <c r="M176" i="2"/>
  <c r="M120" i="2"/>
  <c r="C17" i="7"/>
  <c r="D46" i="3" s="1"/>
  <c r="O48" i="2"/>
  <c r="P46" i="2"/>
  <c r="L114" i="2"/>
  <c r="L23" i="2"/>
  <c r="K84" i="2"/>
  <c r="K80" i="2"/>
  <c r="K86" i="2" s="1"/>
  <c r="B56" i="8"/>
  <c r="D47" i="3"/>
  <c r="M75" i="2"/>
  <c r="M77" i="2" s="1"/>
  <c r="M41" i="2"/>
  <c r="M39" i="2" s="1"/>
  <c r="M82" i="2"/>
  <c r="E21" i="3"/>
  <c r="J112" i="2"/>
  <c r="J21" i="2"/>
  <c r="P95" i="2"/>
  <c r="Q93" i="2"/>
  <c r="O28" i="2"/>
  <c r="N168" i="2"/>
  <c r="O169" i="2"/>
  <c r="N189" i="2"/>
  <c r="J52" i="2"/>
  <c r="J54" i="2"/>
  <c r="H2" i="8"/>
  <c r="O73" i="2"/>
  <c r="O7" i="2"/>
  <c r="P3" i="2"/>
  <c r="N156" i="2"/>
  <c r="N155" i="2" s="1"/>
  <c r="O107" i="2"/>
  <c r="O29" i="2"/>
  <c r="B6" i="7"/>
  <c r="C35" i="3" s="1"/>
  <c r="I206" i="2"/>
  <c r="I205" i="2"/>
  <c r="I207" i="2"/>
  <c r="I154" i="2"/>
  <c r="N190" i="2"/>
  <c r="L66" i="2"/>
  <c r="L37" i="2"/>
  <c r="P55" i="2"/>
  <c r="J113" i="2"/>
  <c r="J22" i="2"/>
  <c r="P60" i="2"/>
  <c r="R71" i="2"/>
  <c r="G3" i="8"/>
  <c r="G5" i="4"/>
  <c r="N43" i="2"/>
  <c r="N13" i="2"/>
  <c r="N15" i="2"/>
  <c r="K50" i="2"/>
  <c r="K57" i="2"/>
  <c r="K59" i="2" s="1"/>
  <c r="E21" i="8"/>
  <c r="D6" i="5"/>
  <c r="L78" i="2"/>
  <c r="H4" i="8"/>
  <c r="H7" i="4"/>
  <c r="P9" i="2"/>
  <c r="O11" i="2"/>
  <c r="K70" i="2"/>
  <c r="K68" i="2"/>
  <c r="D67" i="3"/>
  <c r="O26" i="2" l="1"/>
  <c r="G9" i="5" s="1"/>
  <c r="Q62" i="2"/>
  <c r="Q64" i="2" s="1"/>
  <c r="I2" i="8"/>
  <c r="P73" i="2"/>
  <c r="P7" i="2"/>
  <c r="Q3" i="2"/>
  <c r="M114" i="2"/>
  <c r="M23" i="2"/>
  <c r="P48" i="2"/>
  <c r="Q46" i="2"/>
  <c r="K113" i="2"/>
  <c r="K22" i="2"/>
  <c r="Q178" i="2"/>
  <c r="Q91" i="2"/>
  <c r="R89" i="2"/>
  <c r="P28" i="2"/>
  <c r="L57" i="2"/>
  <c r="L59" i="2" s="1"/>
  <c r="L50" i="2"/>
  <c r="K115" i="2"/>
  <c r="K24" i="2"/>
  <c r="K52" i="2"/>
  <c r="K54" i="2"/>
  <c r="Q60" i="2"/>
  <c r="G9" i="4"/>
  <c r="N176" i="2"/>
  <c r="N120" i="2"/>
  <c r="J177" i="2"/>
  <c r="J122" i="2"/>
  <c r="J124" i="2" s="1"/>
  <c r="J179" i="2" s="1"/>
  <c r="Q95" i="2"/>
  <c r="R93" i="2"/>
  <c r="Q164" i="2"/>
  <c r="P188" i="2"/>
  <c r="F21" i="8"/>
  <c r="E6" i="5"/>
  <c r="M78" i="2"/>
  <c r="Q55" i="2"/>
  <c r="W168" i="2"/>
  <c r="X169" i="2"/>
  <c r="W189" i="2"/>
  <c r="N18" i="2"/>
  <c r="N117" i="2"/>
  <c r="N116" i="2"/>
  <c r="J111" i="2"/>
  <c r="J20" i="2"/>
  <c r="N41" i="2"/>
  <c r="N39" i="2" s="1"/>
  <c r="N82" i="2"/>
  <c r="N75" i="2"/>
  <c r="N77" i="2" s="1"/>
  <c r="B3" i="7"/>
  <c r="C32" i="3" s="1"/>
  <c r="I172" i="2"/>
  <c r="I201" i="2"/>
  <c r="I200" i="2"/>
  <c r="O156" i="2"/>
  <c r="O155" i="2" s="1"/>
  <c r="P107" i="2"/>
  <c r="P29" i="2"/>
  <c r="S71" i="2"/>
  <c r="H3" i="8"/>
  <c r="H5" i="4"/>
  <c r="O43" i="2"/>
  <c r="O13" i="2"/>
  <c r="O15" i="2"/>
  <c r="L84" i="2"/>
  <c r="L80" i="2"/>
  <c r="L86" i="2" s="1"/>
  <c r="L68" i="2"/>
  <c r="L70" i="2"/>
  <c r="I7" i="4"/>
  <c r="I4" i="8"/>
  <c r="Q9" i="2"/>
  <c r="P11" i="2"/>
  <c r="K112" i="2"/>
  <c r="K21" i="2"/>
  <c r="O168" i="2"/>
  <c r="P189" i="2"/>
  <c r="O189" i="2"/>
  <c r="M66" i="2"/>
  <c r="M37" i="2"/>
  <c r="R62" i="2" l="1"/>
  <c r="R64" i="2" s="1"/>
  <c r="T71" i="2"/>
  <c r="P190" i="2"/>
  <c r="M68" i="2"/>
  <c r="M70" i="2"/>
  <c r="R95" i="2"/>
  <c r="S93" i="2"/>
  <c r="R60" i="2"/>
  <c r="L52" i="2"/>
  <c r="L54" i="2"/>
  <c r="Q28" i="2"/>
  <c r="J2" i="8"/>
  <c r="Q73" i="2"/>
  <c r="Q7" i="2"/>
  <c r="R3" i="2"/>
  <c r="G21" i="8"/>
  <c r="F6" i="5"/>
  <c r="N78" i="2"/>
  <c r="M80" i="2"/>
  <c r="M86" i="2" s="1"/>
  <c r="M84" i="2"/>
  <c r="Q29" i="2"/>
  <c r="L112" i="2"/>
  <c r="L21" i="2"/>
  <c r="Q48" i="2"/>
  <c r="R46" i="2"/>
  <c r="I3" i="8"/>
  <c r="I5" i="4"/>
  <c r="P43" i="2"/>
  <c r="P15" i="2"/>
  <c r="P13" i="2"/>
  <c r="L115" i="2"/>
  <c r="L24" i="2"/>
  <c r="P26" i="2"/>
  <c r="R178" i="2"/>
  <c r="R91" i="2"/>
  <c r="S89" i="2"/>
  <c r="D65" i="3"/>
  <c r="X168" i="2"/>
  <c r="Y169" i="2"/>
  <c r="X189" i="2"/>
  <c r="K111" i="2"/>
  <c r="K20" i="2"/>
  <c r="K19" i="2" s="1"/>
  <c r="Q188" i="2"/>
  <c r="R164" i="2"/>
  <c r="N114" i="2"/>
  <c r="N23" i="2"/>
  <c r="O190" i="2"/>
  <c r="P156" i="2"/>
  <c r="P155" i="2" s="1"/>
  <c r="Q107" i="2"/>
  <c r="K177" i="2"/>
  <c r="K122" i="2"/>
  <c r="K124" i="2" s="1"/>
  <c r="K179" i="2" s="1"/>
  <c r="S62" i="2"/>
  <c r="M57" i="2"/>
  <c r="M59" i="2" s="1"/>
  <c r="M50" i="2"/>
  <c r="O18" i="2"/>
  <c r="O117" i="2"/>
  <c r="O116" i="2"/>
  <c r="J4" i="8"/>
  <c r="J7" i="4"/>
  <c r="R9" i="2"/>
  <c r="Q11" i="2"/>
  <c r="H9" i="4"/>
  <c r="O176" i="2"/>
  <c r="O120" i="2"/>
  <c r="O82" i="2"/>
  <c r="O75" i="2"/>
  <c r="O77" i="2" s="1"/>
  <c r="O41" i="2"/>
  <c r="O39" i="2" s="1"/>
  <c r="N66" i="2"/>
  <c r="N37" i="2"/>
  <c r="L113" i="2"/>
  <c r="L22" i="2"/>
  <c r="J19" i="2"/>
  <c r="R55" i="2"/>
  <c r="R48" i="2" l="1"/>
  <c r="S46" i="2"/>
  <c r="M115" i="2"/>
  <c r="M24" i="2"/>
  <c r="J3" i="8"/>
  <c r="J5" i="4"/>
  <c r="Q43" i="2"/>
  <c r="Q13" i="2"/>
  <c r="Q15" i="2"/>
  <c r="S95" i="2"/>
  <c r="T93" i="2"/>
  <c r="U71" i="2"/>
  <c r="I9" i="4"/>
  <c r="P176" i="2"/>
  <c r="P120" i="2"/>
  <c r="N80" i="2"/>
  <c r="N86" i="2" s="1"/>
  <c r="N84" i="2"/>
  <c r="Q26" i="2"/>
  <c r="I9" i="5" s="1"/>
  <c r="R29" i="2"/>
  <c r="R28" i="2"/>
  <c r="P82" i="2"/>
  <c r="P75" i="2"/>
  <c r="P77" i="2" s="1"/>
  <c r="P41" i="2"/>
  <c r="P39" i="2" s="1"/>
  <c r="L111" i="2"/>
  <c r="L20" i="2"/>
  <c r="L19" i="2" s="1"/>
  <c r="H21" i="8"/>
  <c r="G6" i="5"/>
  <c r="O78" i="2"/>
  <c r="R188" i="2"/>
  <c r="S164" i="2"/>
  <c r="L177" i="2"/>
  <c r="L122" i="2"/>
  <c r="L124" i="2" s="1"/>
  <c r="L179" i="2" s="1"/>
  <c r="M52" i="2"/>
  <c r="M54" i="2"/>
  <c r="Y168" i="2"/>
  <c r="Z169" i="2"/>
  <c r="Y189" i="2"/>
  <c r="K2" i="8"/>
  <c r="R73" i="2"/>
  <c r="S3" i="2"/>
  <c r="R7" i="2"/>
  <c r="S60" i="2"/>
  <c r="N57" i="2"/>
  <c r="N59" i="2" s="1"/>
  <c r="N50" i="2"/>
  <c r="M112" i="2"/>
  <c r="M21" i="2"/>
  <c r="Q190" i="2"/>
  <c r="H9" i="5"/>
  <c r="S55" i="2"/>
  <c r="N68" i="2"/>
  <c r="N70" i="2"/>
  <c r="K4" i="8"/>
  <c r="K7" i="4"/>
  <c r="R11" i="2"/>
  <c r="S9" i="2"/>
  <c r="Q156" i="2"/>
  <c r="Q155" i="2" s="1"/>
  <c r="R107" i="2"/>
  <c r="O66" i="2"/>
  <c r="O37" i="2"/>
  <c r="S64" i="2"/>
  <c r="T62" i="2"/>
  <c r="C7" i="5"/>
  <c r="K30" i="2"/>
  <c r="K147" i="2"/>
  <c r="K25" i="2"/>
  <c r="B7" i="5"/>
  <c r="J30" i="2"/>
  <c r="J147" i="2"/>
  <c r="J25" i="2"/>
  <c r="O114" i="2"/>
  <c r="O23" i="2"/>
  <c r="S178" i="2"/>
  <c r="S91" i="2"/>
  <c r="T89" i="2"/>
  <c r="P18" i="2"/>
  <c r="P116" i="2"/>
  <c r="P117" i="2"/>
  <c r="M113" i="2"/>
  <c r="M22" i="2"/>
  <c r="R26" i="2" l="1"/>
  <c r="J9" i="5" s="1"/>
  <c r="R156" i="2"/>
  <c r="R155" i="2" s="1"/>
  <c r="S107" i="2"/>
  <c r="P66" i="2"/>
  <c r="P37" i="2"/>
  <c r="I21" i="8"/>
  <c r="H6" i="5"/>
  <c r="P78" i="2"/>
  <c r="N112" i="2"/>
  <c r="N21" i="2"/>
  <c r="S29" i="2"/>
  <c r="T64" i="2"/>
  <c r="U62" i="2"/>
  <c r="T60" i="2"/>
  <c r="S188" i="2"/>
  <c r="T164" i="2"/>
  <c r="N115" i="2"/>
  <c r="N24" i="2"/>
  <c r="S28" i="2"/>
  <c r="Q18" i="2"/>
  <c r="Q116" i="2"/>
  <c r="Q117" i="2"/>
  <c r="O57" i="2"/>
  <c r="O59" i="2" s="1"/>
  <c r="O50" i="2"/>
  <c r="R190" i="2"/>
  <c r="J9" i="4"/>
  <c r="Q176" i="2"/>
  <c r="Q120" i="2"/>
  <c r="O68" i="2"/>
  <c r="O70" i="2"/>
  <c r="N113" i="2"/>
  <c r="N22" i="2"/>
  <c r="K3" i="8"/>
  <c r="K5" i="4"/>
  <c r="R15" i="2"/>
  <c r="R43" i="2"/>
  <c r="R13" i="2"/>
  <c r="M111" i="2"/>
  <c r="M20" i="2"/>
  <c r="D7" i="5"/>
  <c r="L147" i="2"/>
  <c r="L25" i="2"/>
  <c r="L30" i="2"/>
  <c r="Q82" i="2"/>
  <c r="Q41" i="2"/>
  <c r="Q39" i="2" s="1"/>
  <c r="Q75" i="2"/>
  <c r="Q77" i="2" s="1"/>
  <c r="D23" i="8"/>
  <c r="C10" i="5"/>
  <c r="K32" i="2"/>
  <c r="T55" i="2"/>
  <c r="J210" i="2"/>
  <c r="C22" i="8"/>
  <c r="B8" i="5"/>
  <c r="N52" i="2"/>
  <c r="N54" i="2"/>
  <c r="P114" i="2"/>
  <c r="P23" i="2"/>
  <c r="T95" i="2"/>
  <c r="U93" i="2"/>
  <c r="J149" i="2"/>
  <c r="K149" i="2" s="1"/>
  <c r="L4" i="8"/>
  <c r="L7" i="4"/>
  <c r="S11" i="2"/>
  <c r="T9" i="2"/>
  <c r="T178" i="2"/>
  <c r="T91" i="2"/>
  <c r="U89" i="2"/>
  <c r="B10" i="5"/>
  <c r="C23" i="8"/>
  <c r="J32" i="2"/>
  <c r="AA169" i="2"/>
  <c r="Z168" i="2"/>
  <c r="Z189" i="2"/>
  <c r="S48" i="2"/>
  <c r="T46" i="2"/>
  <c r="C8" i="5"/>
  <c r="D22" i="8"/>
  <c r="K210" i="2"/>
  <c r="L2" i="8"/>
  <c r="S73" i="2"/>
  <c r="S7" i="2"/>
  <c r="T3" i="2"/>
  <c r="M177" i="2"/>
  <c r="M122" i="2"/>
  <c r="M124" i="2" s="1"/>
  <c r="M179" i="2" s="1"/>
  <c r="O84" i="2"/>
  <c r="O80" i="2"/>
  <c r="O86" i="2" s="1"/>
  <c r="V71" i="2"/>
  <c r="S26" i="2" l="1"/>
  <c r="K9" i="5" s="1"/>
  <c r="N111" i="2"/>
  <c r="N20" i="2"/>
  <c r="N19" i="2" s="1"/>
  <c r="U60" i="2"/>
  <c r="L149" i="2"/>
  <c r="P57" i="2"/>
  <c r="P59" i="2" s="1"/>
  <c r="P50" i="2"/>
  <c r="U178" i="2"/>
  <c r="D56" i="3" s="1"/>
  <c r="U91" i="2"/>
  <c r="V89" i="2"/>
  <c r="M19" i="2"/>
  <c r="O52" i="2"/>
  <c r="O54" i="2"/>
  <c r="U64" i="2"/>
  <c r="V62" i="2"/>
  <c r="P68" i="2"/>
  <c r="P70" i="2"/>
  <c r="L3" i="8"/>
  <c r="L5" i="4"/>
  <c r="S43" i="2"/>
  <c r="S15" i="2"/>
  <c r="S13" i="2"/>
  <c r="T28" i="2"/>
  <c r="U95" i="2"/>
  <c r="V93" i="2"/>
  <c r="Q114" i="2"/>
  <c r="Q23" i="2"/>
  <c r="O113" i="2"/>
  <c r="O22" i="2"/>
  <c r="O112" i="2"/>
  <c r="O21" i="2"/>
  <c r="T48" i="2"/>
  <c r="U46" i="2"/>
  <c r="N177" i="2"/>
  <c r="N122" i="2"/>
  <c r="N124" i="2" s="1"/>
  <c r="N179" i="2" s="1"/>
  <c r="C12" i="5"/>
  <c r="K211" i="2"/>
  <c r="J151" i="2"/>
  <c r="K9" i="4"/>
  <c r="R176" i="2"/>
  <c r="R120" i="2"/>
  <c r="P80" i="2"/>
  <c r="P86" i="2" s="1"/>
  <c r="P84" i="2"/>
  <c r="M4" i="8"/>
  <c r="M7" i="4"/>
  <c r="T11" i="2"/>
  <c r="U9" i="2"/>
  <c r="R41" i="2"/>
  <c r="R39" i="2" s="1"/>
  <c r="R75" i="2"/>
  <c r="R77" i="2" s="1"/>
  <c r="R82" i="2"/>
  <c r="E22" i="8"/>
  <c r="D8" i="5"/>
  <c r="L210" i="2"/>
  <c r="M2" i="8"/>
  <c r="T73" i="2"/>
  <c r="T7" i="2"/>
  <c r="U3" i="2"/>
  <c r="W71" i="2"/>
  <c r="AA168" i="2"/>
  <c r="AB169" i="2"/>
  <c r="AA189" i="2"/>
  <c r="T29" i="2"/>
  <c r="Q66" i="2"/>
  <c r="Q37" i="2"/>
  <c r="T188" i="2"/>
  <c r="U164" i="2"/>
  <c r="S156" i="2"/>
  <c r="S155" i="2" s="1"/>
  <c r="T107" i="2"/>
  <c r="O115" i="2"/>
  <c r="O24" i="2"/>
  <c r="K151" i="2"/>
  <c r="B12" i="5"/>
  <c r="J211" i="2"/>
  <c r="U55" i="2"/>
  <c r="E23" i="8"/>
  <c r="D10" i="5"/>
  <c r="L32" i="2"/>
  <c r="R18" i="2"/>
  <c r="R117" i="2"/>
  <c r="R116" i="2"/>
  <c r="J21" i="8"/>
  <c r="I6" i="5"/>
  <c r="Q78" i="2"/>
  <c r="S190" i="2"/>
  <c r="T26" i="2" l="1"/>
  <c r="L9" i="5" s="1"/>
  <c r="AB168" i="2"/>
  <c r="AC169" i="2"/>
  <c r="AB189" i="2"/>
  <c r="U48" i="2"/>
  <c r="V46" i="2"/>
  <c r="S75" i="2"/>
  <c r="S77" i="2" s="1"/>
  <c r="S82" i="2"/>
  <c r="S41" i="2"/>
  <c r="S39" i="2" s="1"/>
  <c r="P112" i="2"/>
  <c r="P21" i="2"/>
  <c r="J6" i="5"/>
  <c r="K21" i="8"/>
  <c r="R78" i="2"/>
  <c r="K180" i="2"/>
  <c r="K181" i="2" s="1"/>
  <c r="E6" i="10" s="1"/>
  <c r="E13" i="10" s="1"/>
  <c r="K33" i="2"/>
  <c r="N4" i="8"/>
  <c r="N7" i="4"/>
  <c r="U11" i="2"/>
  <c r="V9" i="2"/>
  <c r="P113" i="2"/>
  <c r="P22" i="2"/>
  <c r="Q68" i="2"/>
  <c r="Q70" i="2"/>
  <c r="V55" i="2"/>
  <c r="J180" i="2"/>
  <c r="J33" i="2"/>
  <c r="J160" i="2"/>
  <c r="U28" i="2"/>
  <c r="T156" i="2"/>
  <c r="T155" i="2" s="1"/>
  <c r="U107" i="2"/>
  <c r="L9" i="4"/>
  <c r="S176" i="2"/>
  <c r="S120" i="2"/>
  <c r="C13" i="7"/>
  <c r="U188" i="2"/>
  <c r="V164" i="2"/>
  <c r="P115" i="2"/>
  <c r="P24" i="2"/>
  <c r="O177" i="2"/>
  <c r="O122" i="2"/>
  <c r="O124" i="2" s="1"/>
  <c r="O179" i="2" s="1"/>
  <c r="Q50" i="2"/>
  <c r="Q57" i="2"/>
  <c r="Q59" i="2" s="1"/>
  <c r="N2" i="8"/>
  <c r="U73" i="2"/>
  <c r="U7" i="2"/>
  <c r="V3" i="2"/>
  <c r="V178" i="2"/>
  <c r="V91" i="2"/>
  <c r="W89" i="2"/>
  <c r="M5" i="4"/>
  <c r="M3" i="8"/>
  <c r="T43" i="2"/>
  <c r="T13" i="2"/>
  <c r="T15" i="2"/>
  <c r="V64" i="2"/>
  <c r="W62" i="2"/>
  <c r="F7" i="5"/>
  <c r="N147" i="2"/>
  <c r="N30" i="2"/>
  <c r="N25" i="2"/>
  <c r="S18" i="2"/>
  <c r="S117" i="2"/>
  <c r="S116" i="2"/>
  <c r="O111" i="2"/>
  <c r="O20" i="2"/>
  <c r="O19" i="2" s="1"/>
  <c r="P52" i="2"/>
  <c r="P54" i="2"/>
  <c r="R114" i="2"/>
  <c r="R23" i="2"/>
  <c r="V95" i="2"/>
  <c r="W93" i="2"/>
  <c r="Q80" i="2"/>
  <c r="Q86" i="2" s="1"/>
  <c r="Q84" i="2"/>
  <c r="D12" i="5"/>
  <c r="L211" i="2"/>
  <c r="T190" i="2"/>
  <c r="X71" i="2"/>
  <c r="L151" i="2"/>
  <c r="R66" i="2"/>
  <c r="R37" i="2"/>
  <c r="U29" i="2"/>
  <c r="C22" i="6" s="1"/>
  <c r="E7" i="5"/>
  <c r="M25" i="2"/>
  <c r="M147" i="2"/>
  <c r="M149" i="2" s="1"/>
  <c r="N149" i="2" s="1"/>
  <c r="M30" i="2"/>
  <c r="V60" i="2"/>
  <c r="E40" i="10" l="1"/>
  <c r="E15" i="10"/>
  <c r="E16" i="10" s="1"/>
  <c r="D23" i="3"/>
  <c r="W9" i="2"/>
  <c r="V11" i="2"/>
  <c r="T18" i="2"/>
  <c r="T116" i="2"/>
  <c r="T117" i="2"/>
  <c r="W55" i="2"/>
  <c r="U156" i="2"/>
  <c r="V107" i="2"/>
  <c r="F23" i="8"/>
  <c r="E10" i="5"/>
  <c r="M32" i="2"/>
  <c r="R70" i="2"/>
  <c r="R68" i="2"/>
  <c r="G23" i="8"/>
  <c r="F10" i="5"/>
  <c r="N32" i="2"/>
  <c r="W164" i="2"/>
  <c r="V188" i="2"/>
  <c r="Q113" i="2"/>
  <c r="Q22" i="2"/>
  <c r="C13" i="5"/>
  <c r="K34" i="2"/>
  <c r="W95" i="2"/>
  <c r="X93" i="2"/>
  <c r="P177" i="2"/>
  <c r="P122" i="2"/>
  <c r="P124" i="2" s="1"/>
  <c r="P179" i="2" s="1"/>
  <c r="N5" i="4"/>
  <c r="O5" i="4" s="1"/>
  <c r="N3" i="8"/>
  <c r="U13" i="2"/>
  <c r="U43" i="2"/>
  <c r="U15" i="2"/>
  <c r="C3" i="6"/>
  <c r="D4" i="3" s="1"/>
  <c r="R50" i="2"/>
  <c r="R57" i="2"/>
  <c r="R59" i="2" s="1"/>
  <c r="G22" i="8"/>
  <c r="F8" i="5"/>
  <c r="N210" i="2"/>
  <c r="M151" i="2"/>
  <c r="L180" i="2"/>
  <c r="L181" i="2" s="1"/>
  <c r="F6" i="10" s="1"/>
  <c r="F13" i="10" s="1"/>
  <c r="L33" i="2"/>
  <c r="N151" i="2"/>
  <c r="Q112" i="2"/>
  <c r="Q21" i="2"/>
  <c r="U26" i="2"/>
  <c r="C21" i="6"/>
  <c r="K193" i="2"/>
  <c r="AC168" i="2"/>
  <c r="AD169" i="2"/>
  <c r="AC189" i="2"/>
  <c r="W60" i="2"/>
  <c r="R84" i="2"/>
  <c r="R80" i="2"/>
  <c r="R86" i="2" s="1"/>
  <c r="V73" i="2"/>
  <c r="V7" i="2"/>
  <c r="W3" i="2"/>
  <c r="J181" i="2"/>
  <c r="D6" i="10" s="1"/>
  <c r="D13" i="10" s="1"/>
  <c r="M9" i="4"/>
  <c r="T176" i="2"/>
  <c r="T120" i="2"/>
  <c r="G7" i="5"/>
  <c r="O30" i="2"/>
  <c r="O25" i="2"/>
  <c r="O147" i="2"/>
  <c r="O149" i="2" s="1"/>
  <c r="T75" i="2"/>
  <c r="T77" i="2" s="1"/>
  <c r="T82" i="2"/>
  <c r="T41" i="2"/>
  <c r="T39" i="2" s="1"/>
  <c r="F22" i="8"/>
  <c r="M210" i="2"/>
  <c r="E8" i="5"/>
  <c r="W178" i="2"/>
  <c r="W91" i="2"/>
  <c r="X89" i="2"/>
  <c r="Q52" i="2"/>
  <c r="Q54" i="2"/>
  <c r="U190" i="2"/>
  <c r="D66" i="3" s="1"/>
  <c r="D64" i="3"/>
  <c r="S66" i="2"/>
  <c r="S37" i="2"/>
  <c r="B13" i="5"/>
  <c r="J34" i="2"/>
  <c r="S114" i="2"/>
  <c r="S23" i="2"/>
  <c r="P111" i="2"/>
  <c r="P20" i="2"/>
  <c r="V48" i="2"/>
  <c r="W46" i="2"/>
  <c r="V29" i="2"/>
  <c r="Y71" i="2"/>
  <c r="Q115" i="2"/>
  <c r="Q24" i="2"/>
  <c r="L21" i="8"/>
  <c r="K6" i="5"/>
  <c r="S78" i="2"/>
  <c r="W64" i="2"/>
  <c r="X62" i="2"/>
  <c r="V28" i="2"/>
  <c r="B53" i="8"/>
  <c r="D42" i="3"/>
  <c r="J157" i="2"/>
  <c r="K160" i="2"/>
  <c r="D40" i="10" l="1"/>
  <c r="D15" i="10"/>
  <c r="F40" i="10"/>
  <c r="F15" i="10"/>
  <c r="F16" i="10" s="1"/>
  <c r="K157" i="2"/>
  <c r="L160" i="2"/>
  <c r="P19" i="2"/>
  <c r="Q177" i="2"/>
  <c r="Q122" i="2"/>
  <c r="Q124" i="2" s="1"/>
  <c r="Q179" i="2" s="1"/>
  <c r="T66" i="2"/>
  <c r="T37" i="2"/>
  <c r="R115" i="2"/>
  <c r="R24" i="2"/>
  <c r="L193" i="2"/>
  <c r="U18" i="2"/>
  <c r="U116" i="2"/>
  <c r="U117" i="2"/>
  <c r="X95" i="2"/>
  <c r="Y93" i="2"/>
  <c r="W11" i="2"/>
  <c r="X9" i="2"/>
  <c r="C24" i="8"/>
  <c r="B14" i="5"/>
  <c r="J212" i="2"/>
  <c r="J165" i="2"/>
  <c r="H22" i="8"/>
  <c r="G8" i="5"/>
  <c r="O210" i="2"/>
  <c r="W48" i="2"/>
  <c r="X46" i="2"/>
  <c r="X64" i="2"/>
  <c r="Y62" i="2"/>
  <c r="V43" i="2"/>
  <c r="V15" i="2"/>
  <c r="V13" i="2"/>
  <c r="N180" i="2"/>
  <c r="N181" i="2" s="1"/>
  <c r="H6" i="10" s="1"/>
  <c r="H13" i="10" s="1"/>
  <c r="N33" i="2"/>
  <c r="F13" i="5" s="1"/>
  <c r="R52" i="2"/>
  <c r="R54" i="2"/>
  <c r="V156" i="2"/>
  <c r="V155" i="2" s="1"/>
  <c r="W107" i="2"/>
  <c r="D13" i="5"/>
  <c r="L34" i="2"/>
  <c r="C5" i="7"/>
  <c r="U155" i="2"/>
  <c r="J206" i="2"/>
  <c r="J205" i="2"/>
  <c r="J154" i="2"/>
  <c r="Z71" i="2"/>
  <c r="X178" i="2"/>
  <c r="X91" i="2"/>
  <c r="Y89" i="2"/>
  <c r="M180" i="2"/>
  <c r="M33" i="2"/>
  <c r="M34" i="2" s="1"/>
  <c r="U75" i="2"/>
  <c r="U77" i="2" s="1"/>
  <c r="U82" i="2"/>
  <c r="U41" i="2"/>
  <c r="U39" i="2" s="1"/>
  <c r="W29" i="2"/>
  <c r="R113" i="2"/>
  <c r="R22" i="2"/>
  <c r="X55" i="2"/>
  <c r="V26" i="2"/>
  <c r="H23" i="8"/>
  <c r="G10" i="5"/>
  <c r="O32" i="2"/>
  <c r="W73" i="2"/>
  <c r="W7" i="2"/>
  <c r="X3" i="2"/>
  <c r="R112" i="2"/>
  <c r="R21" i="2"/>
  <c r="D24" i="8"/>
  <c r="C14" i="5"/>
  <c r="K212" i="2"/>
  <c r="N211" i="2"/>
  <c r="F12" i="5"/>
  <c r="AD168" i="2"/>
  <c r="AE169" i="2"/>
  <c r="AD189" i="2"/>
  <c r="M21" i="8"/>
  <c r="L6" i="5"/>
  <c r="T78" i="2"/>
  <c r="Q111" i="2"/>
  <c r="Q20" i="2"/>
  <c r="Q19" i="2" s="1"/>
  <c r="S84" i="2"/>
  <c r="S80" i="2"/>
  <c r="S86" i="2" s="1"/>
  <c r="S50" i="2"/>
  <c r="S57" i="2"/>
  <c r="S59" i="2" s="1"/>
  <c r="W28" i="2"/>
  <c r="T114" i="2"/>
  <c r="T23" i="2"/>
  <c r="X60" i="2"/>
  <c r="D22" i="3"/>
  <c r="N9" i="4"/>
  <c r="O9" i="4" s="1"/>
  <c r="O7" i="4" s="1"/>
  <c r="U176" i="2"/>
  <c r="U120" i="2"/>
  <c r="C7" i="6"/>
  <c r="V190" i="2"/>
  <c r="S70" i="2"/>
  <c r="S68" i="2"/>
  <c r="O151" i="2"/>
  <c r="J193" i="2"/>
  <c r="M9" i="5"/>
  <c r="N9" i="5" s="1"/>
  <c r="C19" i="6"/>
  <c r="W188" i="2"/>
  <c r="X164" i="2"/>
  <c r="M211" i="2"/>
  <c r="E12" i="5"/>
  <c r="N34" i="2" l="1"/>
  <c r="G24" i="8" s="1"/>
  <c r="H15" i="10"/>
  <c r="H16" i="10" s="1"/>
  <c r="H40" i="10"/>
  <c r="D16" i="10"/>
  <c r="D25" i="10"/>
  <c r="Y164" i="2"/>
  <c r="X188" i="2"/>
  <c r="V18" i="2"/>
  <c r="V116" i="2"/>
  <c r="V117" i="2"/>
  <c r="S113" i="2"/>
  <c r="S22" i="2"/>
  <c r="M6" i="5"/>
  <c r="N6" i="5" s="1"/>
  <c r="N21" i="8"/>
  <c r="U78" i="2"/>
  <c r="C11" i="6"/>
  <c r="D81" i="3" s="1"/>
  <c r="AE168" i="2"/>
  <c r="AF169" i="2"/>
  <c r="AE189" i="2"/>
  <c r="U66" i="2"/>
  <c r="U37" i="2"/>
  <c r="R111" i="2"/>
  <c r="R20" i="2"/>
  <c r="R19" i="2" s="1"/>
  <c r="T84" i="2"/>
  <c r="T80" i="2"/>
  <c r="T86" i="2" s="1"/>
  <c r="X28" i="2"/>
  <c r="B41" i="8"/>
  <c r="D34" i="3"/>
  <c r="R177" i="2"/>
  <c r="R122" i="2"/>
  <c r="R124" i="2" s="1"/>
  <c r="R179" i="2" s="1"/>
  <c r="Y64" i="2"/>
  <c r="Z62" i="2"/>
  <c r="Y9" i="2"/>
  <c r="X11" i="2"/>
  <c r="C5" i="6"/>
  <c r="D6" i="3" s="1"/>
  <c r="D8" i="3"/>
  <c r="G12" i="5"/>
  <c r="O211" i="2"/>
  <c r="W156" i="2"/>
  <c r="W155" i="2" s="1"/>
  <c r="X107" i="2"/>
  <c r="W190" i="2"/>
  <c r="D20" i="3"/>
  <c r="W26" i="2"/>
  <c r="J194" i="2"/>
  <c r="S112" i="2"/>
  <c r="S21" i="2"/>
  <c r="X73" i="2"/>
  <c r="X7" i="2"/>
  <c r="Y3" i="2"/>
  <c r="Y55" i="2"/>
  <c r="U114" i="2"/>
  <c r="U23" i="2"/>
  <c r="C16" i="6" s="1"/>
  <c r="E24" i="8"/>
  <c r="D14" i="5"/>
  <c r="L212" i="2"/>
  <c r="X48" i="2"/>
  <c r="Y46" i="2"/>
  <c r="I7" i="5"/>
  <c r="Q147" i="2"/>
  <c r="Q30" i="2"/>
  <c r="Q25" i="2"/>
  <c r="D54" i="3"/>
  <c r="Y178" i="2"/>
  <c r="Y91" i="2"/>
  <c r="Z89" i="2"/>
  <c r="F24" i="8"/>
  <c r="E14" i="5"/>
  <c r="M212" i="2"/>
  <c r="S52" i="2"/>
  <c r="S54" i="2"/>
  <c r="W43" i="2"/>
  <c r="W13" i="2"/>
  <c r="W15" i="2"/>
  <c r="E13" i="5"/>
  <c r="AA71" i="2"/>
  <c r="N193" i="2"/>
  <c r="Y95" i="2"/>
  <c r="Z93" i="2"/>
  <c r="H7" i="5"/>
  <c r="P147" i="2"/>
  <c r="P25" i="2"/>
  <c r="P30" i="2"/>
  <c r="O180" i="2"/>
  <c r="O181" i="2" s="1"/>
  <c r="I6" i="10" s="1"/>
  <c r="I13" i="10" s="1"/>
  <c r="O33" i="2"/>
  <c r="G13" i="5" s="1"/>
  <c r="V82" i="2"/>
  <c r="V75" i="2"/>
  <c r="V77" i="2" s="1"/>
  <c r="V41" i="2"/>
  <c r="V39" i="2" s="1"/>
  <c r="T70" i="2"/>
  <c r="T68" i="2"/>
  <c r="C4" i="7"/>
  <c r="D33" i="3" s="1"/>
  <c r="Y60" i="2"/>
  <c r="S115" i="2"/>
  <c r="S24" i="2"/>
  <c r="M181" i="2"/>
  <c r="G6" i="10" s="1"/>
  <c r="G13" i="10" s="1"/>
  <c r="V176" i="2"/>
  <c r="V120" i="2"/>
  <c r="K165" i="2"/>
  <c r="J163" i="2"/>
  <c r="X29" i="2"/>
  <c r="M160" i="2"/>
  <c r="L157" i="2"/>
  <c r="T57" i="2"/>
  <c r="T59" i="2" s="1"/>
  <c r="T50" i="2"/>
  <c r="K205" i="2"/>
  <c r="K206" i="2"/>
  <c r="K154" i="2"/>
  <c r="F14" i="5" l="1"/>
  <c r="N212" i="2"/>
  <c r="I40" i="10"/>
  <c r="I15" i="10"/>
  <c r="I16" i="10" s="1"/>
  <c r="E25" i="10"/>
  <c r="F25" i="10" s="1"/>
  <c r="D26" i="10"/>
  <c r="G40" i="10"/>
  <c r="G15" i="10"/>
  <c r="O34" i="2"/>
  <c r="H24" i="8" s="1"/>
  <c r="X26" i="2"/>
  <c r="Z60" i="2"/>
  <c r="P149" i="2"/>
  <c r="Q149" i="2" s="1"/>
  <c r="Q151" i="2" s="1"/>
  <c r="V78" i="2"/>
  <c r="N160" i="2"/>
  <c r="M157" i="2"/>
  <c r="Z64" i="2"/>
  <c r="AA62" i="2"/>
  <c r="AF168" i="2"/>
  <c r="AG169" i="2"/>
  <c r="AF189" i="2"/>
  <c r="X190" i="2"/>
  <c r="M193" i="2"/>
  <c r="Y29" i="2"/>
  <c r="W176" i="2"/>
  <c r="W120" i="2"/>
  <c r="Y73" i="2"/>
  <c r="Y7" i="2"/>
  <c r="Z3" i="2"/>
  <c r="T115" i="2"/>
  <c r="T24" i="2"/>
  <c r="Y188" i="2"/>
  <c r="Z164" i="2"/>
  <c r="Y28" i="2"/>
  <c r="T52" i="2"/>
  <c r="T54" i="2"/>
  <c r="T113" i="2"/>
  <c r="T22" i="2"/>
  <c r="U80" i="2"/>
  <c r="U86" i="2" s="1"/>
  <c r="U84" i="2"/>
  <c r="Y48" i="2"/>
  <c r="Z46" i="2"/>
  <c r="U70" i="2"/>
  <c r="U68" i="2"/>
  <c r="L205" i="2"/>
  <c r="L206" i="2"/>
  <c r="L154" i="2"/>
  <c r="Z95" i="2"/>
  <c r="AA93" i="2"/>
  <c r="O193" i="2"/>
  <c r="W82" i="2"/>
  <c r="W75" i="2"/>
  <c r="W77" i="2" s="1"/>
  <c r="W41" i="2"/>
  <c r="W39" i="2" s="1"/>
  <c r="J22" i="8"/>
  <c r="I8" i="5"/>
  <c r="Q210" i="2"/>
  <c r="X43" i="2"/>
  <c r="X15" i="2"/>
  <c r="X13" i="2"/>
  <c r="C61" i="8"/>
  <c r="J196" i="2"/>
  <c r="K192" i="2"/>
  <c r="K194" i="2" s="1"/>
  <c r="D73" i="3"/>
  <c r="D12" i="3"/>
  <c r="D86" i="3"/>
  <c r="D82" i="3"/>
  <c r="D84" i="3"/>
  <c r="D83" i="3"/>
  <c r="S111" i="2"/>
  <c r="S20" i="2"/>
  <c r="S19" i="2" s="1"/>
  <c r="J23" i="8"/>
  <c r="I10" i="5"/>
  <c r="Q32" i="2"/>
  <c r="X156" i="2"/>
  <c r="X155" i="2" s="1"/>
  <c r="Y107" i="2"/>
  <c r="J7" i="5"/>
  <c r="R25" i="2"/>
  <c r="R30" i="2"/>
  <c r="R147" i="2"/>
  <c r="I22" i="8"/>
  <c r="H8" i="5"/>
  <c r="P210" i="2"/>
  <c r="D17" i="3"/>
  <c r="D78" i="3"/>
  <c r="U57" i="2"/>
  <c r="U59" i="2" s="1"/>
  <c r="U50" i="2"/>
  <c r="T112" i="2"/>
  <c r="T21" i="2"/>
  <c r="V66" i="2"/>
  <c r="V37" i="2"/>
  <c r="V114" i="2"/>
  <c r="V23" i="2"/>
  <c r="Z55" i="2"/>
  <c r="Z9" i="2"/>
  <c r="Y11" i="2"/>
  <c r="W18" i="2"/>
  <c r="W116" i="2"/>
  <c r="W117" i="2"/>
  <c r="J207" i="2"/>
  <c r="J201" i="2"/>
  <c r="J200" i="2"/>
  <c r="J162" i="2"/>
  <c r="J172" i="2" s="1"/>
  <c r="J202" i="2"/>
  <c r="L165" i="2"/>
  <c r="K163" i="2"/>
  <c r="I23" i="8"/>
  <c r="H10" i="5"/>
  <c r="P32" i="2"/>
  <c r="AB71" i="2"/>
  <c r="S177" i="2"/>
  <c r="S122" i="2"/>
  <c r="S124" i="2" s="1"/>
  <c r="S179" i="2" s="1"/>
  <c r="Z178" i="2"/>
  <c r="Z91" i="2"/>
  <c r="AA89" i="2"/>
  <c r="O212" i="2" l="1"/>
  <c r="G25" i="10"/>
  <c r="H25" i="10" s="1"/>
  <c r="I25" i="10" s="1"/>
  <c r="G14" i="5"/>
  <c r="E26" i="10"/>
  <c r="F26" i="10" s="1"/>
  <c r="G16" i="10"/>
  <c r="V68" i="2"/>
  <c r="V70" i="2"/>
  <c r="Y156" i="2"/>
  <c r="Y155" i="2" s="1"/>
  <c r="Z107" i="2"/>
  <c r="W66" i="2"/>
  <c r="W37" i="2"/>
  <c r="Z188" i="2"/>
  <c r="AA164" i="2"/>
  <c r="M205" i="2"/>
  <c r="M206" i="2"/>
  <c r="M154" i="2"/>
  <c r="M165" i="2"/>
  <c r="L163" i="2"/>
  <c r="W114" i="2"/>
  <c r="W23" i="2"/>
  <c r="U115" i="2"/>
  <c r="U24" i="2"/>
  <c r="C17" i="6" s="1"/>
  <c r="O160" i="2"/>
  <c r="N157" i="2"/>
  <c r="AA60" i="2"/>
  <c r="AC71" i="2"/>
  <c r="Z29" i="2"/>
  <c r="AA55" i="2"/>
  <c r="X176" i="2"/>
  <c r="X120" i="2"/>
  <c r="Y190" i="2"/>
  <c r="X18" i="2"/>
  <c r="X116" i="2"/>
  <c r="X117" i="2"/>
  <c r="Q180" i="2"/>
  <c r="Q181" i="2" s="1"/>
  <c r="K6" i="10" s="1"/>
  <c r="K13" i="10" s="1"/>
  <c r="Q33" i="2"/>
  <c r="I13" i="5" s="1"/>
  <c r="J10" i="5"/>
  <c r="K23" i="8"/>
  <c r="R32" i="2"/>
  <c r="X82" i="2"/>
  <c r="X75" i="2"/>
  <c r="X77" i="2" s="1"/>
  <c r="X41" i="2"/>
  <c r="X39" i="2" s="1"/>
  <c r="U113" i="2"/>
  <c r="U22" i="2"/>
  <c r="C15" i="6" s="1"/>
  <c r="T111" i="2"/>
  <c r="T20" i="2"/>
  <c r="T19" i="2" s="1"/>
  <c r="U112" i="2"/>
  <c r="U21" i="2"/>
  <c r="C14" i="6" s="1"/>
  <c r="I12" i="5"/>
  <c r="Q211" i="2"/>
  <c r="D18" i="7"/>
  <c r="E47" i="3" s="1"/>
  <c r="AG168" i="2"/>
  <c r="AH169" i="2"/>
  <c r="AG189" i="2"/>
  <c r="AA178" i="2"/>
  <c r="AA91" i="2"/>
  <c r="AB89" i="2"/>
  <c r="H12" i="5"/>
  <c r="P211" i="2"/>
  <c r="Z11" i="2"/>
  <c r="AA9" i="2"/>
  <c r="K22" i="8"/>
  <c r="J8" i="5"/>
  <c r="R210" i="2"/>
  <c r="Z48" i="2"/>
  <c r="AA46" i="2"/>
  <c r="T177" i="2"/>
  <c r="T122" i="2"/>
  <c r="T124" i="2" s="1"/>
  <c r="T179" i="2" s="1"/>
  <c r="AA64" i="2"/>
  <c r="AB62" i="2"/>
  <c r="V80" i="2"/>
  <c r="V86" i="2" s="1"/>
  <c r="V84" i="2"/>
  <c r="R149" i="2"/>
  <c r="Y43" i="2"/>
  <c r="Y13" i="2"/>
  <c r="Y15" i="2"/>
  <c r="K207" i="2"/>
  <c r="K201" i="2"/>
  <c r="K200" i="2"/>
  <c r="K162" i="2"/>
  <c r="K172" i="2" s="1"/>
  <c r="K202" i="2"/>
  <c r="U52" i="2"/>
  <c r="U54" i="2"/>
  <c r="W78" i="2"/>
  <c r="Z28" i="2"/>
  <c r="V57" i="2"/>
  <c r="V59" i="2" s="1"/>
  <c r="V50" i="2"/>
  <c r="K7" i="5"/>
  <c r="S147" i="2"/>
  <c r="S25" i="2"/>
  <c r="S30" i="2"/>
  <c r="D61" i="8"/>
  <c r="K196" i="2"/>
  <c r="L192" i="2"/>
  <c r="L194" i="2" s="1"/>
  <c r="AA95" i="2"/>
  <c r="AB93" i="2"/>
  <c r="Y26" i="2"/>
  <c r="Z73" i="2"/>
  <c r="AA3" i="2"/>
  <c r="Z7" i="2"/>
  <c r="P151" i="2"/>
  <c r="G26" i="10" l="1"/>
  <c r="H26" i="10" s="1"/>
  <c r="I26" i="10" s="1"/>
  <c r="K40" i="10"/>
  <c r="K15" i="10"/>
  <c r="K16" i="10" s="1"/>
  <c r="S149" i="2"/>
  <c r="L23" i="8"/>
  <c r="K10" i="5"/>
  <c r="S32" i="2"/>
  <c r="Y176" i="2"/>
  <c r="Y120" i="2"/>
  <c r="D15" i="3"/>
  <c r="D76" i="3"/>
  <c r="N205" i="2"/>
  <c r="N206" i="2"/>
  <c r="N154" i="2"/>
  <c r="L207" i="2"/>
  <c r="L201" i="2"/>
  <c r="L200" i="2"/>
  <c r="L162" i="2"/>
  <c r="L172" i="2" s="1"/>
  <c r="L202" i="2"/>
  <c r="AA188" i="2"/>
  <c r="AB164" i="2"/>
  <c r="AB95" i="2"/>
  <c r="AC93" i="2"/>
  <c r="AA48" i="2"/>
  <c r="AB46" i="2"/>
  <c r="AI169" i="2"/>
  <c r="AH168" i="2"/>
  <c r="AH189" i="2"/>
  <c r="X114" i="2"/>
  <c r="X23" i="2"/>
  <c r="P160" i="2"/>
  <c r="O157" i="2"/>
  <c r="N165" i="2"/>
  <c r="M163" i="2"/>
  <c r="U177" i="2"/>
  <c r="U122" i="2"/>
  <c r="U124" i="2" s="1"/>
  <c r="U179" i="2" s="1"/>
  <c r="D57" i="3" s="1"/>
  <c r="X66" i="2"/>
  <c r="X37" i="2"/>
  <c r="AA29" i="2"/>
  <c r="L7" i="5"/>
  <c r="T25" i="2"/>
  <c r="T147" i="2"/>
  <c r="T30" i="2"/>
  <c r="Z190" i="2"/>
  <c r="P180" i="2"/>
  <c r="P33" i="2"/>
  <c r="J12" i="5"/>
  <c r="R211" i="2"/>
  <c r="AD71" i="2"/>
  <c r="D79" i="3"/>
  <c r="D18" i="3"/>
  <c r="W84" i="2"/>
  <c r="W80" i="2"/>
  <c r="W86" i="2" s="1"/>
  <c r="AA11" i="2"/>
  <c r="AB9" i="2"/>
  <c r="K8" i="5"/>
  <c r="L22" i="8"/>
  <c r="S210" i="2"/>
  <c r="D17" i="7"/>
  <c r="E46" i="3" s="1"/>
  <c r="V113" i="2"/>
  <c r="V22" i="2"/>
  <c r="E61" i="8"/>
  <c r="L196" i="2"/>
  <c r="M192" i="2"/>
  <c r="M194" i="2" s="1"/>
  <c r="V52" i="2"/>
  <c r="V54" i="2"/>
  <c r="V112" i="2"/>
  <c r="V21" i="2"/>
  <c r="V115" i="2"/>
  <c r="V24" i="2"/>
  <c r="Q34" i="2"/>
  <c r="D77" i="3"/>
  <c r="D16" i="3"/>
  <c r="X78" i="2"/>
  <c r="W57" i="2"/>
  <c r="W59" i="2" s="1"/>
  <c r="W50" i="2"/>
  <c r="U111" i="2"/>
  <c r="U20" i="2"/>
  <c r="Y82" i="2"/>
  <c r="Y75" i="2"/>
  <c r="Y77" i="2" s="1"/>
  <c r="Y41" i="2"/>
  <c r="Y39" i="2" s="1"/>
  <c r="Q193" i="2"/>
  <c r="Z13" i="2"/>
  <c r="Z43" i="2"/>
  <c r="Z15" i="2"/>
  <c r="Z26" i="2"/>
  <c r="AB64" i="2"/>
  <c r="AC62" i="2"/>
  <c r="AB178" i="2"/>
  <c r="AB91" i="2"/>
  <c r="AC89" i="2"/>
  <c r="R151" i="2"/>
  <c r="AB60" i="2"/>
  <c r="W70" i="2"/>
  <c r="W68" i="2"/>
  <c r="E65" i="3"/>
  <c r="AA73" i="2"/>
  <c r="AA7" i="2"/>
  <c r="AB3" i="2"/>
  <c r="Y18" i="2"/>
  <c r="Y117" i="2"/>
  <c r="Y116" i="2"/>
  <c r="AA28" i="2"/>
  <c r="AB55" i="2"/>
  <c r="Z156" i="2"/>
  <c r="Z155" i="2" s="1"/>
  <c r="AA107" i="2"/>
  <c r="T149" i="2" l="1"/>
  <c r="S151" i="2"/>
  <c r="S180" i="2" s="1"/>
  <c r="S181" i="2" s="1"/>
  <c r="M6" i="10" s="1"/>
  <c r="M13" i="10" s="1"/>
  <c r="AA26" i="2"/>
  <c r="Y78" i="2"/>
  <c r="AC178" i="2"/>
  <c r="AC91" i="2"/>
  <c r="AD89" i="2"/>
  <c r="Z75" i="2"/>
  <c r="Z77" i="2" s="1"/>
  <c r="Z41" i="2"/>
  <c r="Z39" i="2" s="1"/>
  <c r="Z82" i="2"/>
  <c r="U19" i="2"/>
  <c r="C13" i="6"/>
  <c r="W115" i="2"/>
  <c r="W24" i="2"/>
  <c r="X50" i="2"/>
  <c r="X57" i="2"/>
  <c r="X59" i="2" s="1"/>
  <c r="O206" i="2"/>
  <c r="O205" i="2"/>
  <c r="O154" i="2"/>
  <c r="O165" i="2"/>
  <c r="N163" i="2"/>
  <c r="Z176" i="2"/>
  <c r="Z120" i="2"/>
  <c r="X68" i="2"/>
  <c r="X70" i="2"/>
  <c r="Q160" i="2"/>
  <c r="P157" i="2"/>
  <c r="R180" i="2"/>
  <c r="R181" i="2" s="1"/>
  <c r="L6" i="10" s="1"/>
  <c r="L13" i="10" s="1"/>
  <c r="R33" i="2"/>
  <c r="AB48" i="2"/>
  <c r="AC46" i="2"/>
  <c r="AB28" i="2"/>
  <c r="V111" i="2"/>
  <c r="V20" i="2"/>
  <c r="M23" i="8"/>
  <c r="L10" i="5"/>
  <c r="T32" i="2"/>
  <c r="AB188" i="2"/>
  <c r="AC164" i="2"/>
  <c r="AA43" i="2"/>
  <c r="AA15" i="2"/>
  <c r="AA13" i="2"/>
  <c r="F61" i="8"/>
  <c r="N192" i="2"/>
  <c r="N194" i="2" s="1"/>
  <c r="M196" i="2"/>
  <c r="M22" i="8"/>
  <c r="L8" i="5"/>
  <c r="T210" i="2"/>
  <c r="AB29" i="2"/>
  <c r="AA190" i="2"/>
  <c r="X80" i="2"/>
  <c r="X86" i="2" s="1"/>
  <c r="X84" i="2"/>
  <c r="P181" i="2"/>
  <c r="J6" i="10" s="1"/>
  <c r="J13" i="10" s="1"/>
  <c r="AC55" i="2"/>
  <c r="W113" i="2"/>
  <c r="W22" i="2"/>
  <c r="AC60" i="2"/>
  <c r="W112" i="2"/>
  <c r="W21" i="2"/>
  <c r="D55" i="3"/>
  <c r="J24" i="8"/>
  <c r="Q212" i="2"/>
  <c r="I14" i="5"/>
  <c r="Y114" i="2"/>
  <c r="Y23" i="2"/>
  <c r="AE71" i="2"/>
  <c r="AA156" i="2"/>
  <c r="AA155" i="2" s="1"/>
  <c r="AB107" i="2"/>
  <c r="Z18" i="2"/>
  <c r="Z116" i="2"/>
  <c r="Z117" i="2"/>
  <c r="AB73" i="2"/>
  <c r="AB7" i="2"/>
  <c r="AC3" i="2"/>
  <c r="W52" i="2"/>
  <c r="W54" i="2"/>
  <c r="V177" i="2"/>
  <c r="V122" i="2"/>
  <c r="V124" i="2" s="1"/>
  <c r="V179" i="2" s="1"/>
  <c r="AC64" i="2"/>
  <c r="AD62" i="2"/>
  <c r="T151" i="2"/>
  <c r="AC95" i="2"/>
  <c r="AD93" i="2"/>
  <c r="K12" i="5"/>
  <c r="S211" i="2"/>
  <c r="Y66" i="2"/>
  <c r="Y37" i="2"/>
  <c r="AB11" i="2"/>
  <c r="AC9" i="2"/>
  <c r="H13" i="5"/>
  <c r="P34" i="2"/>
  <c r="M207" i="2"/>
  <c r="M200" i="2"/>
  <c r="M201" i="2"/>
  <c r="M162" i="2"/>
  <c r="M172" i="2" s="1"/>
  <c r="M202" i="2"/>
  <c r="AI168" i="2"/>
  <c r="AJ169" i="2"/>
  <c r="AI189" i="2"/>
  <c r="M15" i="10" l="1"/>
  <c r="M16" i="10" s="1"/>
  <c r="M40" i="10"/>
  <c r="S33" i="2"/>
  <c r="K13" i="5" s="1"/>
  <c r="J40" i="10"/>
  <c r="J15" i="10"/>
  <c r="L40" i="10"/>
  <c r="L15" i="10"/>
  <c r="L16" i="10" s="1"/>
  <c r="AB190" i="2"/>
  <c r="AB26" i="2"/>
  <c r="P165" i="2"/>
  <c r="O163" i="2"/>
  <c r="AJ168" i="2"/>
  <c r="AK169" i="2"/>
  <c r="AJ189" i="2"/>
  <c r="Z78" i="2"/>
  <c r="P193" i="2"/>
  <c r="P206" i="2"/>
  <c r="P205" i="2"/>
  <c r="P154" i="2"/>
  <c r="D75" i="3"/>
  <c r="D14" i="3"/>
  <c r="N200" i="2"/>
  <c r="N207" i="2"/>
  <c r="N201" i="2"/>
  <c r="N162" i="2"/>
  <c r="N172" i="2" s="1"/>
  <c r="N202" i="2"/>
  <c r="H14" i="5"/>
  <c r="I24" i="8"/>
  <c r="P212" i="2"/>
  <c r="W111" i="2"/>
  <c r="W20" i="2"/>
  <c r="W19" i="2" s="1"/>
  <c r="AC48" i="2"/>
  <c r="AD46" i="2"/>
  <c r="M7" i="5"/>
  <c r="N7" i="5" s="1"/>
  <c r="U30" i="2"/>
  <c r="U147" i="2"/>
  <c r="U25" i="2"/>
  <c r="C12" i="6"/>
  <c r="S193" i="2"/>
  <c r="X115" i="2"/>
  <c r="X24" i="2"/>
  <c r="AA176" i="2"/>
  <c r="AA120" i="2"/>
  <c r="X113" i="2"/>
  <c r="X22" i="2"/>
  <c r="Y80" i="2"/>
  <c r="Y86" i="2" s="1"/>
  <c r="Y84" i="2"/>
  <c r="G61" i="8"/>
  <c r="N196" i="2"/>
  <c r="O192" i="2"/>
  <c r="O194" i="2" s="1"/>
  <c r="AC28" i="2"/>
  <c r="R160" i="2"/>
  <c r="Q157" i="2"/>
  <c r="AC11" i="2"/>
  <c r="AD9" i="2"/>
  <c r="AC29" i="2"/>
  <c r="AC73" i="2"/>
  <c r="AC7" i="2"/>
  <c r="AD3" i="2"/>
  <c r="AA18" i="2"/>
  <c r="AA116" i="2"/>
  <c r="AA117" i="2"/>
  <c r="Z37" i="2"/>
  <c r="Z66" i="2"/>
  <c r="AB156" i="2"/>
  <c r="AB155" i="2" s="1"/>
  <c r="AC107" i="2"/>
  <c r="L12" i="5"/>
  <c r="T211" i="2"/>
  <c r="AD95" i="2"/>
  <c r="AE93" i="2"/>
  <c r="W177" i="2"/>
  <c r="W122" i="2"/>
  <c r="W124" i="2" s="1"/>
  <c r="W179" i="2" s="1"/>
  <c r="T180" i="2"/>
  <c r="T33" i="2"/>
  <c r="L13" i="5" s="1"/>
  <c r="AB43" i="2"/>
  <c r="AB15" i="2"/>
  <c r="AB13" i="2"/>
  <c r="AA75" i="2"/>
  <c r="AA77" i="2" s="1"/>
  <c r="AA82" i="2"/>
  <c r="AA41" i="2"/>
  <c r="AA39" i="2" s="1"/>
  <c r="J13" i="5"/>
  <c r="R34" i="2"/>
  <c r="X112" i="2"/>
  <c r="X21" i="2"/>
  <c r="Z114" i="2"/>
  <c r="Z23" i="2"/>
  <c r="Y70" i="2"/>
  <c r="Y68" i="2"/>
  <c r="AF71" i="2"/>
  <c r="Y50" i="2"/>
  <c r="Y57" i="2"/>
  <c r="Y59" i="2" s="1"/>
  <c r="AD64" i="2"/>
  <c r="AE62" i="2"/>
  <c r="AD60" i="2"/>
  <c r="AD55" i="2"/>
  <c r="AC188" i="2"/>
  <c r="AD164" i="2"/>
  <c r="V19" i="2"/>
  <c r="R193" i="2"/>
  <c r="X52" i="2"/>
  <c r="X54" i="2"/>
  <c r="AD178" i="2"/>
  <c r="AD91" i="2"/>
  <c r="AE89" i="2"/>
  <c r="S34" i="2" l="1"/>
  <c r="J16" i="10"/>
  <c r="J25" i="10"/>
  <c r="S212" i="2"/>
  <c r="T34" i="2"/>
  <c r="T212" i="2" s="1"/>
  <c r="H61" i="8"/>
  <c r="O196" i="2"/>
  <c r="P192" i="2"/>
  <c r="P194" i="2" s="1"/>
  <c r="X111" i="2"/>
  <c r="X20" i="2"/>
  <c r="AE164" i="2"/>
  <c r="AD188" i="2"/>
  <c r="T181" i="2"/>
  <c r="N6" i="10" s="1"/>
  <c r="N13" i="10" s="1"/>
  <c r="Q206" i="2"/>
  <c r="Q205" i="2"/>
  <c r="Q154" i="2"/>
  <c r="N22" i="8"/>
  <c r="U210" i="2"/>
  <c r="M8" i="5"/>
  <c r="N8" i="5" s="1"/>
  <c r="C18" i="6"/>
  <c r="AD28" i="2"/>
  <c r="Q165" i="2"/>
  <c r="P163" i="2"/>
  <c r="D74" i="3"/>
  <c r="D13" i="3"/>
  <c r="X177" i="2"/>
  <c r="X122" i="2"/>
  <c r="X124" i="2" s="1"/>
  <c r="X179" i="2" s="1"/>
  <c r="AA37" i="2"/>
  <c r="AA66" i="2"/>
  <c r="S160" i="2"/>
  <c r="R157" i="2"/>
  <c r="U149" i="2"/>
  <c r="AG71" i="2"/>
  <c r="AB75" i="2"/>
  <c r="AB77" i="2" s="1"/>
  <c r="AB82" i="2"/>
  <c r="AB41" i="2"/>
  <c r="AB39" i="2" s="1"/>
  <c r="J14" i="5"/>
  <c r="K24" i="8"/>
  <c r="R212" i="2"/>
  <c r="AE64" i="2"/>
  <c r="AF62" i="2"/>
  <c r="AC13" i="2"/>
  <c r="AC43" i="2"/>
  <c r="AC15" i="2"/>
  <c r="N23" i="8"/>
  <c r="M10" i="5"/>
  <c r="N10" i="5" s="1"/>
  <c r="U32" i="2"/>
  <c r="C23" i="6"/>
  <c r="V147" i="2"/>
  <c r="V25" i="2"/>
  <c r="V30" i="2"/>
  <c r="W147" i="2"/>
  <c r="W25" i="2"/>
  <c r="W210" i="2" s="1"/>
  <c r="W30" i="2"/>
  <c r="W32" i="2" s="1"/>
  <c r="Y113" i="2"/>
  <c r="Y22" i="2"/>
  <c r="AD73" i="2"/>
  <c r="AD7" i="2"/>
  <c r="AE3" i="2"/>
  <c r="Y112" i="2"/>
  <c r="Y21" i="2"/>
  <c r="AE95" i="2"/>
  <c r="AF93" i="2"/>
  <c r="Z68" i="2"/>
  <c r="Z70" i="2"/>
  <c r="Y115" i="2"/>
  <c r="Y24" i="2"/>
  <c r="AK168" i="2"/>
  <c r="AL169" i="2"/>
  <c r="AK189" i="2"/>
  <c r="AE9" i="2"/>
  <c r="AD11" i="2"/>
  <c r="AC156" i="2"/>
  <c r="AC155" i="2" s="1"/>
  <c r="AD107" i="2"/>
  <c r="AA114" i="2"/>
  <c r="AA23" i="2"/>
  <c r="Y52" i="2"/>
  <c r="Y54" i="2"/>
  <c r="AB176" i="2"/>
  <c r="AB120" i="2"/>
  <c r="AD29" i="2"/>
  <c r="Z50" i="2"/>
  <c r="Z57" i="2"/>
  <c r="Z59" i="2" s="1"/>
  <c r="AD48" i="2"/>
  <c r="AE46" i="2"/>
  <c r="M24" i="8"/>
  <c r="AA78" i="2"/>
  <c r="AC190" i="2"/>
  <c r="AE55" i="2"/>
  <c r="AE178" i="2"/>
  <c r="AE91" i="2"/>
  <c r="AF89" i="2"/>
  <c r="AE60" i="2"/>
  <c r="AB18" i="2"/>
  <c r="AB117" i="2"/>
  <c r="AB116" i="2"/>
  <c r="AC26" i="2"/>
  <c r="Z84" i="2"/>
  <c r="Z80" i="2"/>
  <c r="Z86" i="2" s="1"/>
  <c r="O207" i="2"/>
  <c r="O200" i="2"/>
  <c r="O201" i="2"/>
  <c r="O162" i="2"/>
  <c r="O172" i="2" s="1"/>
  <c r="O202" i="2"/>
  <c r="L14" i="5" l="1"/>
  <c r="L24" i="8"/>
  <c r="K14" i="5"/>
  <c r="N40" i="10"/>
  <c r="N15" i="10"/>
  <c r="K25" i="10"/>
  <c r="L25" i="10" s="1"/>
  <c r="M25" i="10" s="1"/>
  <c r="J26" i="10"/>
  <c r="AB78" i="2"/>
  <c r="V149" i="2"/>
  <c r="W149" i="2" s="1"/>
  <c r="W151" i="2" s="1"/>
  <c r="AF55" i="2"/>
  <c r="Y111" i="2"/>
  <c r="Y20" i="2"/>
  <c r="Y19" i="2" s="1"/>
  <c r="AF95" i="2"/>
  <c r="AG93" i="2"/>
  <c r="AC176" i="2"/>
  <c r="AC120" i="2"/>
  <c r="AB66" i="2"/>
  <c r="AB37" i="2"/>
  <c r="U151" i="2"/>
  <c r="AD190" i="2"/>
  <c r="AE28" i="2"/>
  <c r="Z115" i="2"/>
  <c r="Z24" i="2"/>
  <c r="AC75" i="2"/>
  <c r="AC77" i="2" s="1"/>
  <c r="AC82" i="2"/>
  <c r="AC41" i="2"/>
  <c r="AC39" i="2" s="1"/>
  <c r="Y177" i="2"/>
  <c r="Y122" i="2"/>
  <c r="Y124" i="2" s="1"/>
  <c r="Y179" i="2" s="1"/>
  <c r="AL168" i="2"/>
  <c r="AM169" i="2"/>
  <c r="AL189" i="2"/>
  <c r="AE29" i="2"/>
  <c r="W211" i="2"/>
  <c r="AE188" i="2"/>
  <c r="AF164" i="2"/>
  <c r="I61" i="8"/>
  <c r="P196" i="2"/>
  <c r="Q192" i="2"/>
  <c r="Q194" i="2" s="1"/>
  <c r="AF60" i="2"/>
  <c r="Z112" i="2"/>
  <c r="Z21" i="2"/>
  <c r="D85" i="3"/>
  <c r="D24" i="3"/>
  <c r="AB114" i="2"/>
  <c r="AB23" i="2"/>
  <c r="R206" i="2"/>
  <c r="R205" i="2"/>
  <c r="R154" i="2"/>
  <c r="P200" i="2"/>
  <c r="P207" i="2"/>
  <c r="P201" i="2"/>
  <c r="P162" i="2"/>
  <c r="P172" i="2" s="1"/>
  <c r="P202" i="2"/>
  <c r="AC18" i="2"/>
  <c r="AC117" i="2"/>
  <c r="AC116" i="2"/>
  <c r="Z52" i="2"/>
  <c r="Z54" i="2"/>
  <c r="M12" i="5"/>
  <c r="N12" i="5" s="1"/>
  <c r="U211" i="2"/>
  <c r="C25" i="6"/>
  <c r="AF64" i="2"/>
  <c r="AG62" i="2"/>
  <c r="AH71" i="2"/>
  <c r="T160" i="2"/>
  <c r="S157" i="2"/>
  <c r="R165" i="2"/>
  <c r="Q163" i="2"/>
  <c r="X19" i="2"/>
  <c r="AE48" i="2"/>
  <c r="AF46" i="2"/>
  <c r="Z113" i="2"/>
  <c r="Z22" i="2"/>
  <c r="AA84" i="2"/>
  <c r="AA80" i="2"/>
  <c r="AA86" i="2" s="1"/>
  <c r="T193" i="2"/>
  <c r="AD156" i="2"/>
  <c r="AD155" i="2" s="1"/>
  <c r="AE107" i="2"/>
  <c r="AE73" i="2"/>
  <c r="AE7" i="2"/>
  <c r="AF3" i="2"/>
  <c r="V32" i="2"/>
  <c r="AA68" i="2"/>
  <c r="AA70" i="2"/>
  <c r="AD26" i="2"/>
  <c r="D80" i="3"/>
  <c r="D19" i="3"/>
  <c r="AF9" i="2"/>
  <c r="AE11" i="2"/>
  <c r="AF178" i="2"/>
  <c r="AF91" i="2"/>
  <c r="AG89" i="2"/>
  <c r="AD43" i="2"/>
  <c r="AD15" i="2"/>
  <c r="AD13" i="2"/>
  <c r="V210" i="2"/>
  <c r="AA50" i="2"/>
  <c r="AA57" i="2"/>
  <c r="AA59" i="2" s="1"/>
  <c r="N25" i="10" l="1"/>
  <c r="K26" i="10"/>
  <c r="L26" i="10" s="1"/>
  <c r="M26" i="10" s="1"/>
  <c r="N16" i="10"/>
  <c r="AD176" i="2"/>
  <c r="AD120" i="2"/>
  <c r="V211" i="2"/>
  <c r="AC114" i="2"/>
  <c r="AC23" i="2"/>
  <c r="U180" i="2"/>
  <c r="U33" i="2"/>
  <c r="AF29" i="2"/>
  <c r="AG60" i="2"/>
  <c r="AI71" i="2"/>
  <c r="AG95" i="2"/>
  <c r="AH93" i="2"/>
  <c r="Z111" i="2"/>
  <c r="Z20" i="2"/>
  <c r="AA115" i="2"/>
  <c r="AA24" i="2"/>
  <c r="X30" i="2"/>
  <c r="X147" i="2"/>
  <c r="X149" i="2" s="1"/>
  <c r="X25" i="2"/>
  <c r="AG64" i="2"/>
  <c r="AH62" i="2"/>
  <c r="Z177" i="2"/>
  <c r="Z122" i="2"/>
  <c r="Z124" i="2" s="1"/>
  <c r="Z179" i="2" s="1"/>
  <c r="J61" i="8"/>
  <c r="Q196" i="2"/>
  <c r="R192" i="2"/>
  <c r="R194" i="2" s="1"/>
  <c r="AB50" i="2"/>
  <c r="AB57" i="2"/>
  <c r="AB59" i="2" s="1"/>
  <c r="AB84" i="2"/>
  <c r="AB80" i="2"/>
  <c r="AB86" i="2" s="1"/>
  <c r="U160" i="2"/>
  <c r="T157" i="2"/>
  <c r="AE190" i="2"/>
  <c r="AM168" i="2"/>
  <c r="AN169" i="2"/>
  <c r="AM189" i="2"/>
  <c r="AB68" i="2"/>
  <c r="AB70" i="2"/>
  <c r="AC66" i="2"/>
  <c r="AC37" i="2"/>
  <c r="AF73" i="2"/>
  <c r="AF7" i="2"/>
  <c r="AG3" i="2"/>
  <c r="AA112" i="2"/>
  <c r="AA21" i="2"/>
  <c r="AE43" i="2"/>
  <c r="AE13" i="2"/>
  <c r="AE15" i="2"/>
  <c r="AA52" i="2"/>
  <c r="AA54" i="2"/>
  <c r="AF28" i="2"/>
  <c r="Q207" i="2"/>
  <c r="Q201" i="2"/>
  <c r="Q200" i="2"/>
  <c r="Q162" i="2"/>
  <c r="Q172" i="2" s="1"/>
  <c r="Q202" i="2"/>
  <c r="D87" i="3"/>
  <c r="D26" i="3"/>
  <c r="Y147" i="2"/>
  <c r="Y30" i="2"/>
  <c r="Y32" i="2" s="1"/>
  <c r="Y25" i="2"/>
  <c r="Y210" i="2" s="1"/>
  <c r="AD18" i="2"/>
  <c r="AD116" i="2"/>
  <c r="AD117" i="2"/>
  <c r="AG9" i="2"/>
  <c r="AF11" i="2"/>
  <c r="AG178" i="2"/>
  <c r="E56" i="3" s="1"/>
  <c r="AG91" i="2"/>
  <c r="AH89" i="2"/>
  <c r="AE156" i="2"/>
  <c r="AE155" i="2" s="1"/>
  <c r="AF107" i="2"/>
  <c r="S165" i="2"/>
  <c r="R163" i="2"/>
  <c r="V151" i="2"/>
  <c r="AE26" i="2"/>
  <c r="W180" i="2"/>
  <c r="W181" i="2" s="1"/>
  <c r="Q6" i="10" s="1"/>
  <c r="Q13" i="10" s="1"/>
  <c r="W33" i="2"/>
  <c r="W34" i="2" s="1"/>
  <c r="W212" i="2" s="1"/>
  <c r="AD41" i="2"/>
  <c r="AD39" i="2" s="1"/>
  <c r="AD82" i="2"/>
  <c r="AD75" i="2"/>
  <c r="AD77" i="2" s="1"/>
  <c r="AA113" i="2"/>
  <c r="AA22" i="2"/>
  <c r="AF48" i="2"/>
  <c r="AG46" i="2"/>
  <c r="S205" i="2"/>
  <c r="S206" i="2"/>
  <c r="S154" i="2"/>
  <c r="AC78" i="2"/>
  <c r="AG164" i="2"/>
  <c r="AF188" i="2"/>
  <c r="AG55" i="2"/>
  <c r="Q40" i="10" l="1"/>
  <c r="Q15" i="10"/>
  <c r="Q16" i="10" s="1"/>
  <c r="N26" i="10"/>
  <c r="AF26" i="2"/>
  <c r="Y149" i="2"/>
  <c r="Y151" i="2" s="1"/>
  <c r="AH9" i="2"/>
  <c r="AG11" i="2"/>
  <c r="AE18" i="2"/>
  <c r="AE116" i="2"/>
  <c r="AE117" i="2"/>
  <c r="Z19" i="2"/>
  <c r="AH60" i="2"/>
  <c r="AA111" i="2"/>
  <c r="AA20" i="2"/>
  <c r="AA19" i="2" s="1"/>
  <c r="AF190" i="2"/>
  <c r="R207" i="2"/>
  <c r="R201" i="2"/>
  <c r="R200" i="2"/>
  <c r="R162" i="2"/>
  <c r="R172" i="2" s="1"/>
  <c r="R202" i="2"/>
  <c r="AG48" i="2"/>
  <c r="AH46" i="2"/>
  <c r="AD66" i="2"/>
  <c r="AD37" i="2"/>
  <c r="T165" i="2"/>
  <c r="S163" i="2"/>
  <c r="Y211" i="2"/>
  <c r="AE176" i="2"/>
  <c r="AE120" i="2"/>
  <c r="AC57" i="2"/>
  <c r="AC59" i="2" s="1"/>
  <c r="AC50" i="2"/>
  <c r="AB112" i="2"/>
  <c r="AB21" i="2"/>
  <c r="AN168" i="2"/>
  <c r="AO169" i="2"/>
  <c r="AN189" i="2"/>
  <c r="AH64" i="2"/>
  <c r="AI62" i="2"/>
  <c r="AF156" i="2"/>
  <c r="AF155" i="2" s="1"/>
  <c r="AG107" i="2"/>
  <c r="AE82" i="2"/>
  <c r="AE75" i="2"/>
  <c r="AE77" i="2" s="1"/>
  <c r="AE41" i="2"/>
  <c r="AE39" i="2" s="1"/>
  <c r="AC70" i="2"/>
  <c r="AC68" i="2"/>
  <c r="T205" i="2"/>
  <c r="T206" i="2"/>
  <c r="T154" i="2"/>
  <c r="AB52" i="2"/>
  <c r="AB54" i="2"/>
  <c r="AJ71" i="2"/>
  <c r="AD114" i="2"/>
  <c r="AD23" i="2"/>
  <c r="AA177" i="2"/>
  <c r="AA122" i="2"/>
  <c r="AA124" i="2" s="1"/>
  <c r="AA179" i="2" s="1"/>
  <c r="AH55" i="2"/>
  <c r="W193" i="2"/>
  <c r="AB113" i="2"/>
  <c r="AB22" i="2"/>
  <c r="C9" i="7"/>
  <c r="U157" i="2"/>
  <c r="V160" i="2"/>
  <c r="K61" i="8"/>
  <c r="R196" i="2"/>
  <c r="S192" i="2"/>
  <c r="S194" i="2" s="1"/>
  <c r="X210" i="2"/>
  <c r="V180" i="2"/>
  <c r="V33" i="2"/>
  <c r="AF43" i="2"/>
  <c r="AF15" i="2"/>
  <c r="AF13" i="2"/>
  <c r="U181" i="2"/>
  <c r="O6" i="10" s="1"/>
  <c r="O13" i="10" s="1"/>
  <c r="D58" i="3"/>
  <c r="AC80" i="2"/>
  <c r="AC86" i="2" s="1"/>
  <c r="AC84" i="2"/>
  <c r="AB115" i="2"/>
  <c r="AB24" i="2"/>
  <c r="X151" i="2"/>
  <c r="AH95" i="2"/>
  <c r="AI93" i="2"/>
  <c r="D13" i="7"/>
  <c r="E42" i="3" s="1"/>
  <c r="AG188" i="2"/>
  <c r="AH164" i="2"/>
  <c r="AH178" i="2"/>
  <c r="AH91" i="2"/>
  <c r="AI89" i="2"/>
  <c r="AD78" i="2"/>
  <c r="AG28" i="2"/>
  <c r="AG73" i="2"/>
  <c r="AG7" i="2"/>
  <c r="AH3" i="2"/>
  <c r="X32" i="2"/>
  <c r="AG29" i="2"/>
  <c r="D22" i="6" s="1"/>
  <c r="M13" i="5"/>
  <c r="N13" i="5" s="1"/>
  <c r="C26" i="6"/>
  <c r="U34" i="2"/>
  <c r="O40" i="10" l="1"/>
  <c r="O15" i="10"/>
  <c r="AH29" i="2"/>
  <c r="AH188" i="2"/>
  <c r="AI164" i="2"/>
  <c r="B44" i="8"/>
  <c r="D38" i="3"/>
  <c r="AB177" i="2"/>
  <c r="AB122" i="2"/>
  <c r="AB124" i="2" s="1"/>
  <c r="AB179" i="2" s="1"/>
  <c r="X211" i="2"/>
  <c r="Z25" i="2"/>
  <c r="Z30" i="2"/>
  <c r="Z147" i="2"/>
  <c r="AH73" i="2"/>
  <c r="AH7" i="2"/>
  <c r="AI3" i="2"/>
  <c r="AG190" i="2"/>
  <c r="E66" i="3" s="1"/>
  <c r="E64" i="3"/>
  <c r="AF18" i="2"/>
  <c r="AF116" i="2"/>
  <c r="AF117" i="2"/>
  <c r="AG156" i="2"/>
  <c r="AH107" i="2"/>
  <c r="S207" i="2"/>
  <c r="S201" i="2"/>
  <c r="S200" i="2"/>
  <c r="S162" i="2"/>
  <c r="S172" i="2" s="1"/>
  <c r="S202" i="2"/>
  <c r="AA30" i="2"/>
  <c r="AA32" i="2" s="1"/>
  <c r="AA25" i="2"/>
  <c r="AA210" i="2" s="1"/>
  <c r="AA147" i="2"/>
  <c r="AO168" i="2"/>
  <c r="AP169" i="2"/>
  <c r="AO189" i="2"/>
  <c r="AF176" i="2"/>
  <c r="AF120" i="2"/>
  <c r="Y180" i="2"/>
  <c r="Y181" i="2" s="1"/>
  <c r="S6" i="10" s="1"/>
  <c r="S13" i="10" s="1"/>
  <c r="Y33" i="2"/>
  <c r="Y34" i="2" s="1"/>
  <c r="Y212" i="2" s="1"/>
  <c r="N24" i="8"/>
  <c r="M14" i="5"/>
  <c r="N14" i="5" s="1"/>
  <c r="U212" i="2"/>
  <c r="C27" i="6"/>
  <c r="AG43" i="2"/>
  <c r="AG15" i="2"/>
  <c r="AG13" i="2"/>
  <c r="D3" i="6"/>
  <c r="E4" i="3" s="1"/>
  <c r="AD80" i="2"/>
  <c r="AD86" i="2" s="1"/>
  <c r="AD84" i="2"/>
  <c r="AF82" i="2"/>
  <c r="AF75" i="2"/>
  <c r="AF77" i="2" s="1"/>
  <c r="AF41" i="2"/>
  <c r="AF39" i="2" s="1"/>
  <c r="L61" i="8"/>
  <c r="S196" i="2"/>
  <c r="T192" i="2"/>
  <c r="T194" i="2" s="1"/>
  <c r="U165" i="2"/>
  <c r="T163" i="2"/>
  <c r="C6" i="7"/>
  <c r="D35" i="3" s="1"/>
  <c r="U205" i="2"/>
  <c r="U206" i="2"/>
  <c r="U154" i="2"/>
  <c r="AB111" i="2"/>
  <c r="AB20" i="2"/>
  <c r="X180" i="2"/>
  <c r="X181" i="2" s="1"/>
  <c r="R6" i="10" s="1"/>
  <c r="R13" i="10" s="1"/>
  <c r="X33" i="2"/>
  <c r="X34" i="2" s="1"/>
  <c r="X212" i="2" s="1"/>
  <c r="D88" i="3"/>
  <c r="D27" i="3"/>
  <c r="AC115" i="2"/>
  <c r="AC24" i="2"/>
  <c r="V34" i="2"/>
  <c r="AI64" i="2"/>
  <c r="AJ62" i="2"/>
  <c r="AC52" i="2"/>
  <c r="AC54" i="2"/>
  <c r="AD57" i="2"/>
  <c r="AD59" i="2" s="1"/>
  <c r="AD50" i="2"/>
  <c r="AE78" i="2"/>
  <c r="AG26" i="2"/>
  <c r="D19" i="6" s="1"/>
  <c r="D21" i="6"/>
  <c r="AI55" i="2"/>
  <c r="AE114" i="2"/>
  <c r="AE23" i="2"/>
  <c r="U193" i="2"/>
  <c r="D68" i="3" s="1"/>
  <c r="D59" i="3"/>
  <c r="AI178" i="2"/>
  <c r="AI91" i="2"/>
  <c r="AJ89" i="2"/>
  <c r="V181" i="2"/>
  <c r="P6" i="10" s="1"/>
  <c r="P13" i="10" s="1"/>
  <c r="AK71" i="2"/>
  <c r="AC113" i="2"/>
  <c r="AC22" i="2"/>
  <c r="AC112" i="2"/>
  <c r="AC21" i="2"/>
  <c r="AD68" i="2"/>
  <c r="AD70" i="2"/>
  <c r="AI60" i="2"/>
  <c r="E23" i="3"/>
  <c r="AH28" i="2"/>
  <c r="AI95" i="2"/>
  <c r="AJ93" i="2"/>
  <c r="W160" i="2"/>
  <c r="V157" i="2"/>
  <c r="AE66" i="2"/>
  <c r="AE37" i="2"/>
  <c r="AH48" i="2"/>
  <c r="AI46" i="2"/>
  <c r="AH11" i="2"/>
  <c r="AI9" i="2"/>
  <c r="O16" i="10" l="1"/>
  <c r="O26" i="10" s="1"/>
  <c r="O25" i="10"/>
  <c r="P40" i="10"/>
  <c r="P15" i="10"/>
  <c r="P16" i="10" s="1"/>
  <c r="S40" i="10"/>
  <c r="S15" i="10"/>
  <c r="S16" i="10" s="1"/>
  <c r="R40" i="10"/>
  <c r="R15" i="10"/>
  <c r="R16" i="10" s="1"/>
  <c r="AJ60" i="2"/>
  <c r="Z210" i="2"/>
  <c r="AE57" i="2"/>
  <c r="AE59" i="2" s="1"/>
  <c r="AE50" i="2"/>
  <c r="M61" i="8"/>
  <c r="T196" i="2"/>
  <c r="U192" i="2"/>
  <c r="U194" i="2" s="1"/>
  <c r="D5" i="7"/>
  <c r="E34" i="3" s="1"/>
  <c r="AG155" i="2"/>
  <c r="AI73" i="2"/>
  <c r="AI7" i="2"/>
  <c r="AJ3" i="2"/>
  <c r="AI188" i="2"/>
  <c r="AJ164" i="2"/>
  <c r="AI29" i="2"/>
  <c r="AH26" i="2"/>
  <c r="AD113" i="2"/>
  <c r="AD22" i="2"/>
  <c r="E22" i="3"/>
  <c r="AC111" i="2"/>
  <c r="AC20" i="2"/>
  <c r="AC19" i="2" s="1"/>
  <c r="AG176" i="2"/>
  <c r="AG120" i="2"/>
  <c r="D7" i="6"/>
  <c r="Y193" i="2"/>
  <c r="AA211" i="2"/>
  <c r="AH13" i="2"/>
  <c r="AH43" i="2"/>
  <c r="AH15" i="2"/>
  <c r="AI28" i="2"/>
  <c r="AB19" i="2"/>
  <c r="AD112" i="2"/>
  <c r="AD21" i="2"/>
  <c r="C3" i="7"/>
  <c r="D32" i="3" s="1"/>
  <c r="AJ9" i="2"/>
  <c r="AI11" i="2"/>
  <c r="E20" i="3"/>
  <c r="AC177" i="2"/>
  <c r="AC122" i="2"/>
  <c r="AC124" i="2" s="1"/>
  <c r="AC179" i="2" s="1"/>
  <c r="AG18" i="2"/>
  <c r="AG116" i="2"/>
  <c r="AG117" i="2"/>
  <c r="AH190" i="2"/>
  <c r="AL71" i="2"/>
  <c r="AD52" i="2"/>
  <c r="AD54" i="2"/>
  <c r="AE68" i="2"/>
  <c r="AE70" i="2"/>
  <c r="V205" i="2"/>
  <c r="V206" i="2"/>
  <c r="V154" i="2"/>
  <c r="AJ64" i="2"/>
  <c r="AK62" i="2"/>
  <c r="AF66" i="2"/>
  <c r="AF37" i="2"/>
  <c r="AG82" i="2"/>
  <c r="AG41" i="2"/>
  <c r="AG39" i="2" s="1"/>
  <c r="AG75" i="2"/>
  <c r="AG77" i="2" s="1"/>
  <c r="C14" i="7"/>
  <c r="V165" i="2"/>
  <c r="U163" i="2"/>
  <c r="AD115" i="2"/>
  <c r="AD24" i="2"/>
  <c r="X160" i="2"/>
  <c r="W157" i="2"/>
  <c r="AF114" i="2"/>
  <c r="AF23" i="2"/>
  <c r="D28" i="3"/>
  <c r="D89" i="3"/>
  <c r="AF78" i="2"/>
  <c r="Z149" i="2"/>
  <c r="AA149" i="2" s="1"/>
  <c r="AA151" i="2" s="1"/>
  <c r="AJ55" i="2"/>
  <c r="AH156" i="2"/>
  <c r="AH155" i="2" s="1"/>
  <c r="AI107" i="2"/>
  <c r="AI48" i="2"/>
  <c r="AJ46" i="2"/>
  <c r="V193" i="2"/>
  <c r="AE84" i="2"/>
  <c r="AE80" i="2"/>
  <c r="AE86" i="2" s="1"/>
  <c r="AJ95" i="2"/>
  <c r="AK93" i="2"/>
  <c r="AJ178" i="2"/>
  <c r="AJ91" i="2"/>
  <c r="AK89" i="2"/>
  <c r="V212" i="2"/>
  <c r="X193" i="2"/>
  <c r="T207" i="2"/>
  <c r="T201" i="2"/>
  <c r="T200" i="2"/>
  <c r="T162" i="2"/>
  <c r="T172" i="2" s="1"/>
  <c r="T202" i="2"/>
  <c r="AQ169" i="2"/>
  <c r="AP168" i="2"/>
  <c r="AP189" i="2"/>
  <c r="Z32" i="2"/>
  <c r="P25" i="10" l="1"/>
  <c r="Q25" i="10" s="1"/>
  <c r="R25" i="10" s="1"/>
  <c r="S25" i="10" s="1"/>
  <c r="P26" i="10"/>
  <c r="Q26" i="10" s="1"/>
  <c r="R26" i="10" s="1"/>
  <c r="S26" i="10" s="1"/>
  <c r="AK178" i="2"/>
  <c r="AK91" i="2"/>
  <c r="AL89" i="2"/>
  <c r="AG66" i="2"/>
  <c r="AG37" i="2"/>
  <c r="AC147" i="2"/>
  <c r="AC30" i="2"/>
  <c r="AC32" i="2" s="1"/>
  <c r="AC25" i="2"/>
  <c r="AC210" i="2" s="1"/>
  <c r="AF57" i="2"/>
  <c r="AF59" i="2" s="1"/>
  <c r="AF50" i="2"/>
  <c r="AG114" i="2"/>
  <c r="AG23" i="2"/>
  <c r="D16" i="6" s="1"/>
  <c r="AE112" i="2"/>
  <c r="AE21" i="2"/>
  <c r="AJ28" i="2"/>
  <c r="C12" i="7"/>
  <c r="D41" i="3" s="1"/>
  <c r="U207" i="2"/>
  <c r="U201" i="2"/>
  <c r="U200" i="2"/>
  <c r="U162" i="2"/>
  <c r="U202" i="2"/>
  <c r="AF68" i="2"/>
  <c r="AF70" i="2"/>
  <c r="AD111" i="2"/>
  <c r="AD20" i="2"/>
  <c r="AD19" i="2" s="1"/>
  <c r="AB147" i="2"/>
  <c r="AB149" i="2" s="1"/>
  <c r="AB30" i="2"/>
  <c r="AB25" i="2"/>
  <c r="AJ188" i="2"/>
  <c r="AK164" i="2"/>
  <c r="N61" i="8"/>
  <c r="D69" i="3"/>
  <c r="V192" i="2"/>
  <c r="U196" i="2"/>
  <c r="AK60" i="2"/>
  <c r="AF80" i="2"/>
  <c r="AF86" i="2" s="1"/>
  <c r="AF84" i="2"/>
  <c r="AH41" i="2"/>
  <c r="AH39" i="2" s="1"/>
  <c r="AH75" i="2"/>
  <c r="AH77" i="2" s="1"/>
  <c r="AH82" i="2"/>
  <c r="AI43" i="2"/>
  <c r="AI13" i="2"/>
  <c r="AI15" i="2"/>
  <c r="AA180" i="2"/>
  <c r="AA181" i="2" s="1"/>
  <c r="U6" i="10" s="1"/>
  <c r="U13" i="10" s="1"/>
  <c r="AA33" i="2"/>
  <c r="AA34" i="2" s="1"/>
  <c r="AA212" i="2" s="1"/>
  <c r="AK95" i="2"/>
  <c r="AL93" i="2"/>
  <c r="Z151" i="2"/>
  <c r="W165" i="2"/>
  <c r="V163" i="2"/>
  <c r="AK64" i="2"/>
  <c r="AL62" i="2"/>
  <c r="AD177" i="2"/>
  <c r="AD122" i="2"/>
  <c r="AD124" i="2" s="1"/>
  <c r="AD179" i="2" s="1"/>
  <c r="AJ11" i="2"/>
  <c r="AK9" i="2"/>
  <c r="AI26" i="2"/>
  <c r="W206" i="2"/>
  <c r="W205" i="2"/>
  <c r="W154" i="2"/>
  <c r="Y160" i="2"/>
  <c r="X157" i="2"/>
  <c r="E54" i="3"/>
  <c r="AE113" i="2"/>
  <c r="AE22" i="2"/>
  <c r="Z211" i="2"/>
  <c r="B54" i="8"/>
  <c r="D43" i="3"/>
  <c r="AM71" i="2"/>
  <c r="AI190" i="2"/>
  <c r="AK55" i="2"/>
  <c r="AH176" i="2"/>
  <c r="AH120" i="2"/>
  <c r="D4" i="7"/>
  <c r="E33" i="3" s="1"/>
  <c r="AJ48" i="2"/>
  <c r="AK46" i="2"/>
  <c r="AJ29" i="2"/>
  <c r="AQ168" i="2"/>
  <c r="AR169" i="2"/>
  <c r="AQ189" i="2"/>
  <c r="AE115" i="2"/>
  <c r="AE24" i="2"/>
  <c r="AI156" i="2"/>
  <c r="AI155" i="2" s="1"/>
  <c r="AJ107" i="2"/>
  <c r="AG78" i="2"/>
  <c r="D11" i="6"/>
  <c r="AH18" i="2"/>
  <c r="AH117" i="2"/>
  <c r="AH116" i="2"/>
  <c r="E8" i="3"/>
  <c r="D5" i="6"/>
  <c r="E6" i="3" s="1"/>
  <c r="AJ73" i="2"/>
  <c r="AJ7" i="2"/>
  <c r="AK3" i="2"/>
  <c r="AE52" i="2"/>
  <c r="AE54" i="2"/>
  <c r="U40" i="10" l="1"/>
  <c r="U15" i="10"/>
  <c r="U16" i="10" s="1"/>
  <c r="AC149" i="2"/>
  <c r="AC151" i="2" s="1"/>
  <c r="AG50" i="2"/>
  <c r="AG57" i="2"/>
  <c r="AG59" i="2" s="1"/>
  <c r="AF115" i="2"/>
  <c r="AF24" i="2"/>
  <c r="AG70" i="2"/>
  <c r="AG68" i="2"/>
  <c r="AK48" i="2"/>
  <c r="AL46" i="2"/>
  <c r="AK11" i="2"/>
  <c r="AL9" i="2"/>
  <c r="Z180" i="2"/>
  <c r="Z33" i="2"/>
  <c r="AI176" i="2"/>
  <c r="AI120" i="2"/>
  <c r="AL60" i="2"/>
  <c r="AF113" i="2"/>
  <c r="AF22" i="2"/>
  <c r="AL178" i="2"/>
  <c r="AL91" i="2"/>
  <c r="AM89" i="2"/>
  <c r="E17" i="3"/>
  <c r="E78" i="3"/>
  <c r="X165" i="2"/>
  <c r="W163" i="2"/>
  <c r="AK188" i="2"/>
  <c r="AL164" i="2"/>
  <c r="X206" i="2"/>
  <c r="X205" i="2"/>
  <c r="X154" i="2"/>
  <c r="AI75" i="2"/>
  <c r="AI77" i="2" s="1"/>
  <c r="AI82" i="2"/>
  <c r="AI41" i="2"/>
  <c r="AI39" i="2" s="1"/>
  <c r="AJ190" i="2"/>
  <c r="AK28" i="2"/>
  <c r="AR168" i="2"/>
  <c r="AS169" i="2"/>
  <c r="AR189" i="2"/>
  <c r="AL55" i="2"/>
  <c r="Z160" i="2"/>
  <c r="Y157" i="2"/>
  <c r="AK29" i="2"/>
  <c r="AF112" i="2"/>
  <c r="AF21" i="2"/>
  <c r="AN71" i="2"/>
  <c r="AE177" i="2"/>
  <c r="AE122" i="2"/>
  <c r="AE124" i="2" s="1"/>
  <c r="AE179" i="2" s="1"/>
  <c r="AH78" i="2"/>
  <c r="AH114" i="2"/>
  <c r="AH23" i="2"/>
  <c r="AB210" i="2"/>
  <c r="C11" i="7"/>
  <c r="D40" i="3" s="1"/>
  <c r="U172" i="2"/>
  <c r="V200" i="2"/>
  <c r="V201" i="2"/>
  <c r="V207" i="2"/>
  <c r="V162" i="2"/>
  <c r="V172" i="2" s="1"/>
  <c r="V202" i="2"/>
  <c r="AD147" i="2"/>
  <c r="AD25" i="2"/>
  <c r="AD210" i="2" s="1"/>
  <c r="AD30" i="2"/>
  <c r="AD32" i="2" s="1"/>
  <c r="AI18" i="2"/>
  <c r="AI116" i="2"/>
  <c r="AI117" i="2"/>
  <c r="AL95" i="2"/>
  <c r="AM93" i="2"/>
  <c r="AJ26" i="2"/>
  <c r="AF52" i="2"/>
  <c r="AF54" i="2"/>
  <c r="AE111" i="2"/>
  <c r="AE20" i="2"/>
  <c r="AE19" i="2" s="1"/>
  <c r="AK73" i="2"/>
  <c r="AK7" i="2"/>
  <c r="AL3" i="2"/>
  <c r="E12" i="3"/>
  <c r="E73" i="3"/>
  <c r="E86" i="3"/>
  <c r="E82" i="3"/>
  <c r="E84" i="3"/>
  <c r="E83" i="3"/>
  <c r="E81" i="3"/>
  <c r="AL64" i="2"/>
  <c r="AM62" i="2"/>
  <c r="AA193" i="2"/>
  <c r="AH66" i="2"/>
  <c r="AH37" i="2"/>
  <c r="E67" i="3"/>
  <c r="V194" i="2"/>
  <c r="AB32" i="2"/>
  <c r="AC211" i="2"/>
  <c r="AG80" i="2"/>
  <c r="AG86" i="2" s="1"/>
  <c r="AG84" i="2"/>
  <c r="AJ43" i="2"/>
  <c r="AJ15" i="2"/>
  <c r="AJ13" i="2"/>
  <c r="AJ156" i="2"/>
  <c r="AJ155" i="2" s="1"/>
  <c r="AK107" i="2"/>
  <c r="AB151" i="2"/>
  <c r="AD149" i="2" l="1"/>
  <c r="AD151" i="2" s="1"/>
  <c r="AK26" i="2"/>
  <c r="AK13" i="2"/>
  <c r="AK43" i="2"/>
  <c r="AK15" i="2"/>
  <c r="AM95" i="2"/>
  <c r="AN93" i="2"/>
  <c r="AL188" i="2"/>
  <c r="AM164" i="2"/>
  <c r="AL28" i="2"/>
  <c r="AL48" i="2"/>
  <c r="AM46" i="2"/>
  <c r="AG112" i="2"/>
  <c r="AG21" i="2"/>
  <c r="D14" i="6" s="1"/>
  <c r="AC180" i="2"/>
  <c r="AC181" i="2" s="1"/>
  <c r="W6" i="10" s="1"/>
  <c r="W13" i="10" s="1"/>
  <c r="AC33" i="2"/>
  <c r="AC34" i="2" s="1"/>
  <c r="AC212" i="2" s="1"/>
  <c r="AL73" i="2"/>
  <c r="AL7" i="2"/>
  <c r="AM3" i="2"/>
  <c r="AD211" i="2"/>
  <c r="AK156" i="2"/>
  <c r="AK155" i="2" s="1"/>
  <c r="AL107" i="2"/>
  <c r="AL29" i="2"/>
  <c r="AI66" i="2"/>
  <c r="AI37" i="2"/>
  <c r="AG52" i="2"/>
  <c r="AG54" i="2"/>
  <c r="AH70" i="2"/>
  <c r="AH68" i="2"/>
  <c r="AE30" i="2"/>
  <c r="AE32" i="2" s="1"/>
  <c r="AE25" i="2"/>
  <c r="AE210" i="2" s="1"/>
  <c r="AE147" i="2"/>
  <c r="AH84" i="2"/>
  <c r="AH80" i="2"/>
  <c r="AH86" i="2" s="1"/>
  <c r="E18" i="7"/>
  <c r="F47" i="3" s="1"/>
  <c r="AS168" i="2"/>
  <c r="AT169" i="2"/>
  <c r="AS189" i="2"/>
  <c r="AK190" i="2"/>
  <c r="Z34" i="2"/>
  <c r="AB211" i="2"/>
  <c r="AG115" i="2"/>
  <c r="AG24" i="2"/>
  <c r="D17" i="6" s="1"/>
  <c r="AM55" i="2"/>
  <c r="AB180" i="2"/>
  <c r="AB181" i="2" s="1"/>
  <c r="V6" i="10" s="1"/>
  <c r="V13" i="10" s="1"/>
  <c r="AB33" i="2"/>
  <c r="AB34" i="2" s="1"/>
  <c r="AB212" i="2" s="1"/>
  <c r="AH50" i="2"/>
  <c r="AH57" i="2"/>
  <c r="AH59" i="2" s="1"/>
  <c r="AJ176" i="2"/>
  <c r="AJ120" i="2"/>
  <c r="AI114" i="2"/>
  <c r="AI23" i="2"/>
  <c r="W207" i="2"/>
  <c r="W201" i="2"/>
  <c r="W200" i="2"/>
  <c r="W162" i="2"/>
  <c r="W172" i="2" s="1"/>
  <c r="W202" i="2"/>
  <c r="Z181" i="2"/>
  <c r="T6" i="10" s="1"/>
  <c r="T13" i="10" s="1"/>
  <c r="AM178" i="2"/>
  <c r="AM91" i="2"/>
  <c r="AN89" i="2"/>
  <c r="AJ18" i="2"/>
  <c r="AJ117" i="2"/>
  <c r="AJ116" i="2"/>
  <c r="AF111" i="2"/>
  <c r="AF20" i="2"/>
  <c r="AF19" i="2" s="1"/>
  <c r="AI78" i="2"/>
  <c r="Y165" i="2"/>
  <c r="X163" i="2"/>
  <c r="AM9" i="2"/>
  <c r="AL11" i="2"/>
  <c r="AG113" i="2"/>
  <c r="AG22" i="2"/>
  <c r="D15" i="6" s="1"/>
  <c r="AA160" i="2"/>
  <c r="Z157" i="2"/>
  <c r="V196" i="2"/>
  <c r="W192" i="2"/>
  <c r="W194" i="2" s="1"/>
  <c r="AO71" i="2"/>
  <c r="AJ75" i="2"/>
  <c r="AJ77" i="2" s="1"/>
  <c r="AJ82" i="2"/>
  <c r="AJ41" i="2"/>
  <c r="AJ39" i="2" s="1"/>
  <c r="AM64" i="2"/>
  <c r="AN62" i="2"/>
  <c r="AF177" i="2"/>
  <c r="AF122" i="2"/>
  <c r="AF124" i="2" s="1"/>
  <c r="AF179" i="2" s="1"/>
  <c r="Y206" i="2"/>
  <c r="Y205" i="2"/>
  <c r="Y154" i="2"/>
  <c r="AM60" i="2"/>
  <c r="W40" i="10" l="1"/>
  <c r="W15" i="10"/>
  <c r="W16" i="10" s="1"/>
  <c r="V40" i="10"/>
  <c r="V15" i="10"/>
  <c r="V16" i="10" s="1"/>
  <c r="T40" i="10"/>
  <c r="T15" i="10"/>
  <c r="F65" i="3"/>
  <c r="AL43" i="2"/>
  <c r="AL15" i="2"/>
  <c r="AL13" i="2"/>
  <c r="AM29" i="2"/>
  <c r="AP71" i="2"/>
  <c r="AT168" i="2"/>
  <c r="AT189" i="2"/>
  <c r="AE211" i="2"/>
  <c r="AK18" i="2"/>
  <c r="AK116" i="2"/>
  <c r="AK117" i="2"/>
  <c r="E77" i="3"/>
  <c r="E16" i="3"/>
  <c r="AH112" i="2"/>
  <c r="AH21" i="2"/>
  <c r="AM73" i="2"/>
  <c r="AM7" i="2"/>
  <c r="AN3" i="2"/>
  <c r="AN64" i="2"/>
  <c r="AO62" i="2"/>
  <c r="AJ78" i="2"/>
  <c r="AB193" i="2"/>
  <c r="AL26" i="2"/>
  <c r="W196" i="2"/>
  <c r="X192" i="2"/>
  <c r="X194" i="2" s="1"/>
  <c r="X200" i="2"/>
  <c r="X207" i="2"/>
  <c r="X201" i="2"/>
  <c r="X162" i="2"/>
  <c r="X172" i="2" s="1"/>
  <c r="X202" i="2"/>
  <c r="AN55" i="2"/>
  <c r="AH113" i="2"/>
  <c r="AH22" i="2"/>
  <c r="AL156" i="2"/>
  <c r="AL155" i="2" s="1"/>
  <c r="AM107" i="2"/>
  <c r="AC193" i="2"/>
  <c r="AK176" i="2"/>
  <c r="AK120" i="2"/>
  <c r="AN95" i="2"/>
  <c r="AO93" i="2"/>
  <c r="Z193" i="2"/>
  <c r="AN9" i="2"/>
  <c r="AM11" i="2"/>
  <c r="E17" i="7"/>
  <c r="F46" i="3" s="1"/>
  <c r="AK75" i="2"/>
  <c r="AK77" i="2" s="1"/>
  <c r="AK82" i="2"/>
  <c r="AK41" i="2"/>
  <c r="AK39" i="2" s="1"/>
  <c r="AN178" i="2"/>
  <c r="AN91" i="2"/>
  <c r="AO89" i="2"/>
  <c r="Z212" i="2"/>
  <c r="AH115" i="2"/>
  <c r="AH24" i="2"/>
  <c r="AG111" i="2"/>
  <c r="AG20" i="2"/>
  <c r="E76" i="3"/>
  <c r="E15" i="3"/>
  <c r="AM188" i="2"/>
  <c r="AN164" i="2"/>
  <c r="AJ114" i="2"/>
  <c r="AJ23" i="2"/>
  <c r="AI50" i="2"/>
  <c r="AI57" i="2"/>
  <c r="AI59" i="2" s="1"/>
  <c r="AN60" i="2"/>
  <c r="Z165" i="2"/>
  <c r="Y163" i="2"/>
  <c r="AF25" i="2"/>
  <c r="AF210" i="2" s="1"/>
  <c r="AF30" i="2"/>
  <c r="AF32" i="2" s="1"/>
  <c r="AF147" i="2"/>
  <c r="AJ66" i="2"/>
  <c r="AJ37" i="2"/>
  <c r="Z206" i="2"/>
  <c r="Z205" i="2"/>
  <c r="Z154" i="2"/>
  <c r="AM28" i="2"/>
  <c r="E79" i="3"/>
  <c r="E18" i="3"/>
  <c r="AG177" i="2"/>
  <c r="AG122" i="2"/>
  <c r="AG124" i="2" s="1"/>
  <c r="AG179" i="2" s="1"/>
  <c r="E57" i="3" s="1"/>
  <c r="AE149" i="2"/>
  <c r="AH52" i="2"/>
  <c r="AH54" i="2"/>
  <c r="AI70" i="2"/>
  <c r="AI68" i="2"/>
  <c r="AI84" i="2"/>
  <c r="AI80" i="2"/>
  <c r="AI86" i="2" s="1"/>
  <c r="AB160" i="2"/>
  <c r="AA157" i="2"/>
  <c r="AD180" i="2"/>
  <c r="AD33" i="2"/>
  <c r="AD34" i="2" s="1"/>
  <c r="AD212" i="2" s="1"/>
  <c r="AM48" i="2"/>
  <c r="AN46" i="2"/>
  <c r="AL190" i="2"/>
  <c r="T16" i="10" l="1"/>
  <c r="T26" i="10" s="1"/>
  <c r="U26" i="10" s="1"/>
  <c r="V26" i="10" s="1"/>
  <c r="W26" i="10" s="1"/>
  <c r="T25" i="10"/>
  <c r="U25" i="10" s="1"/>
  <c r="V25" i="10" s="1"/>
  <c r="W25" i="10" s="1"/>
  <c r="AF149" i="2"/>
  <c r="AE151" i="2"/>
  <c r="AE180" i="2" s="1"/>
  <c r="AE181" i="2" s="1"/>
  <c r="Y6" i="10" s="1"/>
  <c r="Y13" i="10" s="1"/>
  <c r="AM26" i="2"/>
  <c r="AC160" i="2"/>
  <c r="AB157" i="2"/>
  <c r="Y207" i="2"/>
  <c r="Y201" i="2"/>
  <c r="Y200" i="2"/>
  <c r="Y162" i="2"/>
  <c r="Y172" i="2" s="1"/>
  <c r="Y202" i="2"/>
  <c r="AG19" i="2"/>
  <c r="D13" i="6"/>
  <c r="AO9" i="2"/>
  <c r="AN11" i="2"/>
  <c r="AL176" i="2"/>
  <c r="AL120" i="2"/>
  <c r="AO178" i="2"/>
  <c r="AO91" i="2"/>
  <c r="AP89" i="2"/>
  <c r="AJ84" i="2"/>
  <c r="AJ80" i="2"/>
  <c r="AJ86" i="2" s="1"/>
  <c r="AA165" i="2"/>
  <c r="Z163" i="2"/>
  <c r="AJ50" i="2"/>
  <c r="AJ57" i="2"/>
  <c r="AJ59" i="2" s="1"/>
  <c r="AO60" i="2"/>
  <c r="AN188" i="2"/>
  <c r="AO164" i="2"/>
  <c r="AM156" i="2"/>
  <c r="AM155" i="2" s="1"/>
  <c r="AN107" i="2"/>
  <c r="AQ71" i="2"/>
  <c r="AL82" i="2"/>
  <c r="AL75" i="2"/>
  <c r="AL77" i="2" s="1"/>
  <c r="AL41" i="2"/>
  <c r="AL39" i="2" s="1"/>
  <c r="AH177" i="2"/>
  <c r="AH122" i="2"/>
  <c r="AH124" i="2" s="1"/>
  <c r="AH179" i="2" s="1"/>
  <c r="AI52" i="2"/>
  <c r="AI54" i="2"/>
  <c r="AN48" i="2"/>
  <c r="AO46" i="2"/>
  <c r="AK66" i="2"/>
  <c r="AK37" i="2"/>
  <c r="AL18" i="2"/>
  <c r="AL117" i="2"/>
  <c r="AL116" i="2"/>
  <c r="AJ68" i="2"/>
  <c r="AJ70" i="2"/>
  <c r="AK114" i="2"/>
  <c r="AK23" i="2"/>
  <c r="AN73" i="2"/>
  <c r="AN7" i="2"/>
  <c r="AO3" i="2"/>
  <c r="AF211" i="2"/>
  <c r="AA205" i="2"/>
  <c r="AA206" i="2"/>
  <c r="AA154" i="2"/>
  <c r="AN28" i="2"/>
  <c r="Y192" i="2"/>
  <c r="Y194" i="2" s="1"/>
  <c r="X196" i="2"/>
  <c r="AI115" i="2"/>
  <c r="AI24" i="2"/>
  <c r="AO64" i="2"/>
  <c r="AP62" i="2"/>
  <c r="E55" i="3"/>
  <c r="AI113" i="2"/>
  <c r="AI22" i="2"/>
  <c r="AM190" i="2"/>
  <c r="AO95" i="2"/>
  <c r="AP93" i="2"/>
  <c r="AM43" i="2"/>
  <c r="AM15" i="2"/>
  <c r="AM13" i="2"/>
  <c r="AK78" i="2"/>
  <c r="AO55" i="2"/>
  <c r="AD181" i="2"/>
  <c r="X6" i="10" s="1"/>
  <c r="X13" i="10" s="1"/>
  <c r="AH111" i="2"/>
  <c r="AH20" i="2"/>
  <c r="AF151" i="2"/>
  <c r="AI112" i="2"/>
  <c r="AI21" i="2"/>
  <c r="AN29" i="2"/>
  <c r="X15" i="10" l="1"/>
  <c r="X16" i="10" s="1"/>
  <c r="X26" i="10" s="1"/>
  <c r="X40" i="10"/>
  <c r="Y40" i="10"/>
  <c r="Y15" i="10"/>
  <c r="Y16" i="10" s="1"/>
  <c r="AE33" i="2"/>
  <c r="AE34" i="2" s="1"/>
  <c r="AE212" i="2" s="1"/>
  <c r="AH19" i="2"/>
  <c r="Z192" i="2"/>
  <c r="Z194" i="2" s="1"/>
  <c r="Y196" i="2"/>
  <c r="AK68" i="2"/>
  <c r="AK70" i="2"/>
  <c r="AI177" i="2"/>
  <c r="AI122" i="2"/>
  <c r="AI124" i="2" s="1"/>
  <c r="AI179" i="2" s="1"/>
  <c r="AK80" i="2"/>
  <c r="AK86" i="2" s="1"/>
  <c r="AK84" i="2"/>
  <c r="AP95" i="2"/>
  <c r="AQ93" i="2"/>
  <c r="AO73" i="2"/>
  <c r="AO7" i="2"/>
  <c r="AP3" i="2"/>
  <c r="AJ113" i="2"/>
  <c r="AJ22" i="2"/>
  <c r="AJ112" i="2"/>
  <c r="AJ21" i="2"/>
  <c r="AN26" i="2"/>
  <c r="AP64" i="2"/>
  <c r="AQ62" i="2"/>
  <c r="AP178" i="2"/>
  <c r="AP91" i="2"/>
  <c r="AQ89" i="2"/>
  <c r="AM176" i="2"/>
  <c r="AM120" i="2"/>
  <c r="AL114" i="2"/>
  <c r="AL23" i="2"/>
  <c r="AO28" i="2"/>
  <c r="E14" i="3"/>
  <c r="E75" i="3"/>
  <c r="AN156" i="2"/>
  <c r="AN155" i="2" s="1"/>
  <c r="AO107" i="2"/>
  <c r="AO48" i="2"/>
  <c r="AP46" i="2"/>
  <c r="AD193" i="2"/>
  <c r="AO29" i="2"/>
  <c r="AN43" i="2"/>
  <c r="AN15" i="2"/>
  <c r="AN13" i="2"/>
  <c r="AJ52" i="2"/>
  <c r="AJ54" i="2"/>
  <c r="AM18" i="2"/>
  <c r="AM117" i="2"/>
  <c r="AM116" i="2"/>
  <c r="AE193" i="2"/>
  <c r="AO188" i="2"/>
  <c r="AP164" i="2"/>
  <c r="AG30" i="2"/>
  <c r="AG25" i="2"/>
  <c r="AG147" i="2"/>
  <c r="D12" i="6"/>
  <c r="AB205" i="2"/>
  <c r="AB206" i="2"/>
  <c r="AB154" i="2"/>
  <c r="AL78" i="2"/>
  <c r="AR71" i="2"/>
  <c r="AN190" i="2"/>
  <c r="Z207" i="2"/>
  <c r="Z201" i="2"/>
  <c r="Z200" i="2"/>
  <c r="Z162" i="2"/>
  <c r="Z172" i="2" s="1"/>
  <c r="Z202" i="2"/>
  <c r="AC157" i="2"/>
  <c r="AD160" i="2"/>
  <c r="AJ115" i="2"/>
  <c r="AJ24" i="2"/>
  <c r="AL66" i="2"/>
  <c r="AL37" i="2"/>
  <c r="AP9" i="2"/>
  <c r="AO11" i="2"/>
  <c r="AP55" i="2"/>
  <c r="AM82" i="2"/>
  <c r="AM75" i="2"/>
  <c r="AM77" i="2" s="1"/>
  <c r="AM41" i="2"/>
  <c r="AM39" i="2" s="1"/>
  <c r="AF180" i="2"/>
  <c r="AF33" i="2"/>
  <c r="AF34" i="2" s="1"/>
  <c r="AK57" i="2"/>
  <c r="AK59" i="2" s="1"/>
  <c r="AK50" i="2"/>
  <c r="AI111" i="2"/>
  <c r="AI20" i="2"/>
  <c r="AI19" i="2" s="1"/>
  <c r="AP60" i="2"/>
  <c r="AB165" i="2"/>
  <c r="AA163" i="2"/>
  <c r="Y26" i="10" l="1"/>
  <c r="X25" i="10"/>
  <c r="Y25" i="10" s="1"/>
  <c r="AP48" i="2"/>
  <c r="AQ46" i="2"/>
  <c r="AK113" i="2"/>
  <c r="AK22" i="2"/>
  <c r="AQ55" i="2"/>
  <c r="AN18" i="2"/>
  <c r="AN117" i="2"/>
  <c r="AN116" i="2"/>
  <c r="AG149" i="2"/>
  <c r="AN82" i="2"/>
  <c r="AN75" i="2"/>
  <c r="AN77" i="2" s="1"/>
  <c r="AN41" i="2"/>
  <c r="AN39" i="2" s="1"/>
  <c r="AA207" i="2"/>
  <c r="AA201" i="2"/>
  <c r="AA200" i="2"/>
  <c r="AA162" i="2"/>
  <c r="AA172" i="2" s="1"/>
  <c r="AA202" i="2"/>
  <c r="AG210" i="2"/>
  <c r="D18" i="6"/>
  <c r="AO156" i="2"/>
  <c r="AO155" i="2" s="1"/>
  <c r="AP107" i="2"/>
  <c r="AP73" i="2"/>
  <c r="AQ3" i="2"/>
  <c r="AP7" i="2"/>
  <c r="AA192" i="2"/>
  <c r="AA194" i="2" s="1"/>
  <c r="Z196" i="2"/>
  <c r="AI147" i="2"/>
  <c r="AI25" i="2"/>
  <c r="AI210" i="2" s="1"/>
  <c r="AI30" i="2"/>
  <c r="AI32" i="2" s="1"/>
  <c r="AN176" i="2"/>
  <c r="AN120" i="2"/>
  <c r="E74" i="3"/>
  <c r="E13" i="3"/>
  <c r="AE160" i="2"/>
  <c r="AD157" i="2"/>
  <c r="AK112" i="2"/>
  <c r="AK21" i="2"/>
  <c r="AC205" i="2"/>
  <c r="AC206" i="2"/>
  <c r="AC154" i="2"/>
  <c r="AC165" i="2"/>
  <c r="AB163" i="2"/>
  <c r="AF212" i="2"/>
  <c r="AP11" i="2"/>
  <c r="AQ9" i="2"/>
  <c r="AG32" i="2"/>
  <c r="D23" i="6"/>
  <c r="AM78" i="2"/>
  <c r="AO43" i="2"/>
  <c r="AO15" i="2"/>
  <c r="AO13" i="2"/>
  <c r="AH147" i="2"/>
  <c r="AH25" i="2"/>
  <c r="AH30" i="2"/>
  <c r="AQ64" i="2"/>
  <c r="AR62" i="2"/>
  <c r="AK115" i="2"/>
  <c r="AK24" i="2"/>
  <c r="AK52" i="2"/>
  <c r="AK54" i="2"/>
  <c r="AL80" i="2"/>
  <c r="AL86" i="2" s="1"/>
  <c r="AL84" i="2"/>
  <c r="AQ60" i="2"/>
  <c r="AF181" i="2"/>
  <c r="Z6" i="10" s="1"/>
  <c r="Z13" i="10" s="1"/>
  <c r="AL57" i="2"/>
  <c r="AL59" i="2" s="1"/>
  <c r="AL50" i="2"/>
  <c r="AS71" i="2"/>
  <c r="AP188" i="2"/>
  <c r="AQ164" i="2"/>
  <c r="AJ111" i="2"/>
  <c r="AJ20" i="2"/>
  <c r="AJ19" i="2" s="1"/>
  <c r="AL70" i="2"/>
  <c r="AL68" i="2"/>
  <c r="AQ178" i="2"/>
  <c r="AQ91" i="2"/>
  <c r="AR89" i="2"/>
  <c r="AQ95" i="2"/>
  <c r="AR93" i="2"/>
  <c r="AM66" i="2"/>
  <c r="AM37" i="2"/>
  <c r="AJ177" i="2"/>
  <c r="AJ122" i="2"/>
  <c r="AJ124" i="2" s="1"/>
  <c r="AJ179" i="2" s="1"/>
  <c r="AM114" i="2"/>
  <c r="AM23" i="2"/>
  <c r="AO190" i="2"/>
  <c r="AO26" i="2"/>
  <c r="AP28" i="2"/>
  <c r="AP29" i="2"/>
  <c r="Z40" i="10" l="1"/>
  <c r="Z15" i="10"/>
  <c r="AH149" i="2"/>
  <c r="AI149" i="2" s="1"/>
  <c r="AP13" i="2"/>
  <c r="AP43" i="2"/>
  <c r="AP15" i="2"/>
  <c r="AR55" i="2"/>
  <c r="AJ25" i="2"/>
  <c r="AJ210" i="2" s="1"/>
  <c r="AJ30" i="2"/>
  <c r="AJ32" i="2" s="1"/>
  <c r="AJ147" i="2"/>
  <c r="AH32" i="2"/>
  <c r="AL112" i="2"/>
  <c r="AL21" i="2"/>
  <c r="AH210" i="2"/>
  <c r="AP156" i="2"/>
  <c r="AP155" i="2" s="1"/>
  <c r="AQ107" i="2"/>
  <c r="AM68" i="2"/>
  <c r="AM70" i="2"/>
  <c r="AF193" i="2"/>
  <c r="AM84" i="2"/>
  <c r="AM80" i="2"/>
  <c r="AM86" i="2" s="1"/>
  <c r="AQ48" i="2"/>
  <c r="AR46" i="2"/>
  <c r="AL52" i="2"/>
  <c r="AL54" i="2"/>
  <c r="AQ73" i="2"/>
  <c r="AQ7" i="2"/>
  <c r="AR3" i="2"/>
  <c r="AQ11" i="2"/>
  <c r="AR9" i="2"/>
  <c r="AK177" i="2"/>
  <c r="AK122" i="2"/>
  <c r="AK124" i="2" s="1"/>
  <c r="AK179" i="2" s="1"/>
  <c r="AR60" i="2"/>
  <c r="AO176" i="2"/>
  <c r="AO120" i="2"/>
  <c r="AD205" i="2"/>
  <c r="AD206" i="2"/>
  <c r="AD154" i="2"/>
  <c r="E80" i="3"/>
  <c r="E19" i="3"/>
  <c r="AN66" i="2"/>
  <c r="AN37" i="2"/>
  <c r="AN78" i="2"/>
  <c r="AR178" i="2"/>
  <c r="AR91" i="2"/>
  <c r="AS89" i="2"/>
  <c r="AQ28" i="2"/>
  <c r="AQ188" i="2"/>
  <c r="AR164" i="2"/>
  <c r="AI211" i="2"/>
  <c r="AR64" i="2"/>
  <c r="AS62" i="2"/>
  <c r="AO18" i="2"/>
  <c r="AO117" i="2"/>
  <c r="AO116" i="2"/>
  <c r="E85" i="3"/>
  <c r="E24" i="3"/>
  <c r="AB207" i="2"/>
  <c r="AB201" i="2"/>
  <c r="AB200" i="2"/>
  <c r="AB162" i="2"/>
  <c r="AB172" i="2" s="1"/>
  <c r="AB202" i="2"/>
  <c r="AF160" i="2"/>
  <c r="AE157" i="2"/>
  <c r="AN114" i="2"/>
  <c r="AN23" i="2"/>
  <c r="AQ29" i="2"/>
  <c r="AL115" i="2"/>
  <c r="AL24" i="2"/>
  <c r="AG151" i="2"/>
  <c r="AK111" i="2"/>
  <c r="AK20" i="2"/>
  <c r="AK19" i="2" s="1"/>
  <c r="AM57" i="2"/>
  <c r="AM59" i="2" s="1"/>
  <c r="AM50" i="2"/>
  <c r="AP190" i="2"/>
  <c r="AP26" i="2"/>
  <c r="AR95" i="2"/>
  <c r="AS93" i="2"/>
  <c r="AL113" i="2"/>
  <c r="AL22" i="2"/>
  <c r="AT71" i="2"/>
  <c r="AO82" i="2"/>
  <c r="AO41" i="2"/>
  <c r="AO39" i="2" s="1"/>
  <c r="AO75" i="2"/>
  <c r="AO77" i="2" s="1"/>
  <c r="AG211" i="2"/>
  <c r="D25" i="6"/>
  <c r="AD165" i="2"/>
  <c r="AC163" i="2"/>
  <c r="AB192" i="2"/>
  <c r="AB194" i="2" s="1"/>
  <c r="AA196" i="2"/>
  <c r="AH151" i="2" l="1"/>
  <c r="Z16" i="10"/>
  <c r="Z26" i="10" s="1"/>
  <c r="Z25" i="10"/>
  <c r="AJ149" i="2"/>
  <c r="AJ151" i="2" s="1"/>
  <c r="AQ26" i="2"/>
  <c r="AI151" i="2"/>
  <c r="AI33" i="2" s="1"/>
  <c r="AI34" i="2" s="1"/>
  <c r="AI212" i="2" s="1"/>
  <c r="AN50" i="2"/>
  <c r="AN57" i="2"/>
  <c r="AN59" i="2" s="1"/>
  <c r="AG160" i="2"/>
  <c r="AF157" i="2"/>
  <c r="AR188" i="2"/>
  <c r="AS164" i="2"/>
  <c r="AN70" i="2"/>
  <c r="AN68" i="2"/>
  <c r="AO114" i="2"/>
  <c r="AO23" i="2"/>
  <c r="AO78" i="2"/>
  <c r="AR73" i="2"/>
  <c r="AR7" i="2"/>
  <c r="AS3" i="2"/>
  <c r="AM113" i="2"/>
  <c r="AM22" i="2"/>
  <c r="AP18" i="2"/>
  <c r="AP117" i="2"/>
  <c r="AP116" i="2"/>
  <c r="E87" i="3"/>
  <c r="E26" i="3"/>
  <c r="AE205" i="2"/>
  <c r="AE206" i="2"/>
  <c r="AE154" i="2"/>
  <c r="AM52" i="2"/>
  <c r="AM54" i="2"/>
  <c r="AS55" i="2"/>
  <c r="AS60" i="2"/>
  <c r="AR29" i="2"/>
  <c r="AQ190" i="2"/>
  <c r="AO66" i="2"/>
  <c r="AO37" i="2"/>
  <c r="AS64" i="2"/>
  <c r="AT62" i="2"/>
  <c r="AT64" i="2" s="1"/>
  <c r="AQ43" i="2"/>
  <c r="AQ13" i="2"/>
  <c r="AQ15" i="2"/>
  <c r="AH211" i="2"/>
  <c r="AP41" i="2"/>
  <c r="AP39" i="2" s="1"/>
  <c r="AP75" i="2"/>
  <c r="AP77" i="2" s="1"/>
  <c r="AP82" i="2"/>
  <c r="AR48" i="2"/>
  <c r="AS46" i="2"/>
  <c r="AS95" i="2"/>
  <c r="AT93" i="2"/>
  <c r="AT95" i="2" s="1"/>
  <c r="AT29" i="2" s="1"/>
  <c r="AB196" i="2"/>
  <c r="AC192" i="2"/>
  <c r="AC194" i="2" s="1"/>
  <c r="AN80" i="2"/>
  <c r="AN86" i="2" s="1"/>
  <c r="AN84" i="2"/>
  <c r="AM115" i="2"/>
  <c r="AM24" i="2"/>
  <c r="AQ156" i="2"/>
  <c r="AQ155" i="2" s="1"/>
  <c r="AR107" i="2"/>
  <c r="AP176" i="2"/>
  <c r="AP120" i="2"/>
  <c r="AL111" i="2"/>
  <c r="AL20" i="2"/>
  <c r="AL19" i="2" s="1"/>
  <c r="AR28" i="2"/>
  <c r="AM112" i="2"/>
  <c r="AM21" i="2"/>
  <c r="AK147" i="2"/>
  <c r="AK30" i="2"/>
  <c r="AK25" i="2"/>
  <c r="AK210" i="2" s="1"/>
  <c r="AC207" i="2"/>
  <c r="AC200" i="2"/>
  <c r="AC201" i="2"/>
  <c r="AC162" i="2"/>
  <c r="AC172" i="2" s="1"/>
  <c r="AC202" i="2"/>
  <c r="AE165" i="2"/>
  <c r="AD163" i="2"/>
  <c r="AG180" i="2"/>
  <c r="AG33" i="2"/>
  <c r="AS178" i="2"/>
  <c r="F56" i="3" s="1"/>
  <c r="AS91" i="2"/>
  <c r="AT89" i="2"/>
  <c r="AR11" i="2"/>
  <c r="AS9" i="2"/>
  <c r="AL177" i="2"/>
  <c r="AL122" i="2"/>
  <c r="AL124" i="2" s="1"/>
  <c r="AL179" i="2" s="1"/>
  <c r="AH180" i="2"/>
  <c r="AH33" i="2"/>
  <c r="AH34" i="2" s="1"/>
  <c r="AJ211" i="2"/>
  <c r="AR26" i="2" l="1"/>
  <c r="AI180" i="2"/>
  <c r="AI181" i="2" s="1"/>
  <c r="AC6" i="10" s="1"/>
  <c r="AC13" i="10" s="1"/>
  <c r="AK149" i="2"/>
  <c r="AH181" i="2"/>
  <c r="AB6" i="10" s="1"/>
  <c r="AB13" i="10" s="1"/>
  <c r="AO80" i="2"/>
  <c r="AO86" i="2" s="1"/>
  <c r="AO84" i="2"/>
  <c r="AO50" i="2"/>
  <c r="AO57" i="2"/>
  <c r="AO59" i="2" s="1"/>
  <c r="AR190" i="2"/>
  <c r="AD200" i="2"/>
  <c r="AD207" i="2"/>
  <c r="AD201" i="2"/>
  <c r="AD162" i="2"/>
  <c r="AD172" i="2" s="1"/>
  <c r="AD202" i="2"/>
  <c r="AQ18" i="2"/>
  <c r="AQ117" i="2"/>
  <c r="AQ116" i="2"/>
  <c r="AO68" i="2"/>
  <c r="AO70" i="2"/>
  <c r="AS73" i="2"/>
  <c r="AS7" i="2"/>
  <c r="AT3" i="2"/>
  <c r="AF206" i="2"/>
  <c r="AF205" i="2"/>
  <c r="AF154" i="2"/>
  <c r="AS29" i="2"/>
  <c r="E22" i="6" s="1"/>
  <c r="E13" i="7"/>
  <c r="F42" i="3" s="1"/>
  <c r="AS188" i="2"/>
  <c r="AT164" i="2"/>
  <c r="AS11" i="2"/>
  <c r="AT9" i="2"/>
  <c r="AT11" i="2" s="1"/>
  <c r="AF165" i="2"/>
  <c r="AE163" i="2"/>
  <c r="AK32" i="2"/>
  <c r="AN115" i="2"/>
  <c r="AN24" i="2"/>
  <c r="AQ176" i="2"/>
  <c r="AQ120" i="2"/>
  <c r="AT55" i="2"/>
  <c r="AR43" i="2"/>
  <c r="AR13" i="2"/>
  <c r="AR15" i="2"/>
  <c r="D9" i="7"/>
  <c r="E38" i="3" s="1"/>
  <c r="AH160" i="2"/>
  <c r="AG157" i="2"/>
  <c r="AT60" i="2"/>
  <c r="AG181" i="2"/>
  <c r="AA6" i="10" s="1"/>
  <c r="AA13" i="10" s="1"/>
  <c r="E58" i="3"/>
  <c r="AJ180" i="2"/>
  <c r="AJ181" i="2" s="1"/>
  <c r="AD6" i="10" s="1"/>
  <c r="AD13" i="10" s="1"/>
  <c r="AJ33" i="2"/>
  <c r="AJ34" i="2" s="1"/>
  <c r="AJ212" i="2" s="1"/>
  <c r="AD192" i="2"/>
  <c r="AD194" i="2" s="1"/>
  <c r="AC196" i="2"/>
  <c r="AQ75" i="2"/>
  <c r="AQ77" i="2" s="1"/>
  <c r="AQ82" i="2"/>
  <c r="AQ41" i="2"/>
  <c r="AQ39" i="2" s="1"/>
  <c r="AN112" i="2"/>
  <c r="AN21" i="2"/>
  <c r="AH212" i="2"/>
  <c r="AS48" i="2"/>
  <c r="AT46" i="2"/>
  <c r="AT178" i="2"/>
  <c r="AT91" i="2"/>
  <c r="AT28" i="2" s="1"/>
  <c r="AT26" i="2" s="1"/>
  <c r="AP114" i="2"/>
  <c r="AP23" i="2"/>
  <c r="AM111" i="2"/>
  <c r="AM20" i="2"/>
  <c r="AN52" i="2"/>
  <c r="AN54" i="2"/>
  <c r="AP78" i="2"/>
  <c r="D26" i="6"/>
  <c r="AG34" i="2"/>
  <c r="AK151" i="2"/>
  <c r="AR156" i="2"/>
  <c r="AR155" i="2" s="1"/>
  <c r="AS107" i="2"/>
  <c r="AS28" i="2"/>
  <c r="AL30" i="2"/>
  <c r="AL32" i="2" s="1"/>
  <c r="AL25" i="2"/>
  <c r="AL147" i="2"/>
  <c r="AP66" i="2"/>
  <c r="AP37" i="2"/>
  <c r="AI193" i="2"/>
  <c r="AM177" i="2"/>
  <c r="AM122" i="2"/>
  <c r="AM124" i="2" s="1"/>
  <c r="AM179" i="2" s="1"/>
  <c r="AN113" i="2"/>
  <c r="AN22" i="2"/>
  <c r="AL149" i="2" l="1"/>
  <c r="AB40" i="10"/>
  <c r="AB15" i="10"/>
  <c r="AB16" i="10" s="1"/>
  <c r="AD40" i="10"/>
  <c r="AD15" i="10"/>
  <c r="AD16" i="10" s="1"/>
  <c r="AA40" i="10"/>
  <c r="AA15" i="10"/>
  <c r="AC40" i="10"/>
  <c r="AC15" i="10"/>
  <c r="AC16" i="10" s="1"/>
  <c r="AP50" i="2"/>
  <c r="AP57" i="2"/>
  <c r="AP59" i="2" s="1"/>
  <c r="AO112" i="2"/>
  <c r="AO21" i="2"/>
  <c r="AP70" i="2"/>
  <c r="AP68" i="2"/>
  <c r="AG165" i="2"/>
  <c r="AF163" i="2"/>
  <c r="AO52" i="2"/>
  <c r="AO54" i="2"/>
  <c r="AK180" i="2"/>
  <c r="AK181" i="2" s="1"/>
  <c r="AE6" i="10" s="1"/>
  <c r="AE13" i="10" s="1"/>
  <c r="AK33" i="2"/>
  <c r="AK34" i="2" s="1"/>
  <c r="AQ37" i="2"/>
  <c r="AQ66" i="2"/>
  <c r="AL210" i="2"/>
  <c r="AG212" i="2"/>
  <c r="D27" i="6"/>
  <c r="AM19" i="2"/>
  <c r="F23" i="3"/>
  <c r="AO113" i="2"/>
  <c r="AO22" i="2"/>
  <c r="AT73" i="2"/>
  <c r="AT7" i="2"/>
  <c r="AN111" i="2"/>
  <c r="AN20" i="2"/>
  <c r="AN19" i="2" s="1"/>
  <c r="AS190" i="2"/>
  <c r="F66" i="3" s="1"/>
  <c r="F64" i="3"/>
  <c r="AT48" i="2"/>
  <c r="AG193" i="2"/>
  <c r="E68" i="3" s="1"/>
  <c r="E59" i="3"/>
  <c r="AL211" i="2"/>
  <c r="E88" i="3"/>
  <c r="E27" i="3"/>
  <c r="AQ114" i="2"/>
  <c r="AQ23" i="2"/>
  <c r="AR18" i="2"/>
  <c r="AR117" i="2"/>
  <c r="AR116" i="2"/>
  <c r="AI160" i="2"/>
  <c r="AH157" i="2"/>
  <c r="AN177" i="2"/>
  <c r="AN122" i="2"/>
  <c r="AN124" i="2" s="1"/>
  <c r="AN179" i="2" s="1"/>
  <c r="AS26" i="2"/>
  <c r="E19" i="6" s="1"/>
  <c r="E21" i="6"/>
  <c r="AR176" i="2"/>
  <c r="AR120" i="2"/>
  <c r="AO115" i="2"/>
  <c r="AO24" i="2"/>
  <c r="AD196" i="2"/>
  <c r="AE192" i="2"/>
  <c r="AE194" i="2" s="1"/>
  <c r="AR75" i="2"/>
  <c r="AR77" i="2" s="1"/>
  <c r="AR82" i="2"/>
  <c r="AR41" i="2"/>
  <c r="AR39" i="2" s="1"/>
  <c r="AH193" i="2"/>
  <c r="AS156" i="2"/>
  <c r="AT107" i="2"/>
  <c r="AT156" i="2" s="1"/>
  <c r="AT155" i="2" s="1"/>
  <c r="AJ193" i="2"/>
  <c r="AE207" i="2"/>
  <c r="AE201" i="2"/>
  <c r="AE200" i="2"/>
  <c r="AE162" i="2"/>
  <c r="AE172" i="2" s="1"/>
  <c r="AE202" i="2"/>
  <c r="AS13" i="2"/>
  <c r="AS43" i="2"/>
  <c r="AS15" i="2"/>
  <c r="E3" i="6"/>
  <c r="F4" i="3" s="1"/>
  <c r="AL151" i="2"/>
  <c r="AP84" i="2"/>
  <c r="AP80" i="2"/>
  <c r="AP86" i="2" s="1"/>
  <c r="D6" i="7"/>
  <c r="E35" i="3" s="1"/>
  <c r="AG206" i="2"/>
  <c r="AG205" i="2"/>
  <c r="AG154" i="2"/>
  <c r="AK211" i="2"/>
  <c r="AT188" i="2"/>
  <c r="AT190" i="2" s="1"/>
  <c r="AQ78" i="2"/>
  <c r="AA16" i="10" l="1"/>
  <c r="AA26" i="10" s="1"/>
  <c r="AB26" i="10" s="1"/>
  <c r="AC26" i="10" s="1"/>
  <c r="AD26" i="10" s="1"/>
  <c r="AA25" i="10"/>
  <c r="AB25" i="10" s="1"/>
  <c r="AC25" i="10" s="1"/>
  <c r="AD25" i="10" s="1"/>
  <c r="AE40" i="10"/>
  <c r="AE15" i="10"/>
  <c r="AE16" i="10" s="1"/>
  <c r="AQ70" i="2"/>
  <c r="AQ68" i="2"/>
  <c r="AP115" i="2"/>
  <c r="AP24" i="2"/>
  <c r="AP113" i="2"/>
  <c r="AP22" i="2"/>
  <c r="AM25" i="2"/>
  <c r="AM147" i="2"/>
  <c r="AM30" i="2"/>
  <c r="AR114" i="2"/>
  <c r="AR23" i="2"/>
  <c r="F20" i="3"/>
  <c r="AR78" i="2"/>
  <c r="E28" i="3"/>
  <c r="E89" i="3"/>
  <c r="AK193" i="2"/>
  <c r="AI157" i="2"/>
  <c r="AJ160" i="2"/>
  <c r="AS18" i="2"/>
  <c r="AS116" i="2"/>
  <c r="AS117" i="2"/>
  <c r="AR66" i="2"/>
  <c r="AR37" i="2"/>
  <c r="AQ50" i="2"/>
  <c r="AQ57" i="2"/>
  <c r="AQ59" i="2" s="1"/>
  <c r="AK212" i="2"/>
  <c r="AS75" i="2"/>
  <c r="AS77" i="2" s="1"/>
  <c r="AS82" i="2"/>
  <c r="AS41" i="2"/>
  <c r="AS39" i="2" s="1"/>
  <c r="F22" i="3"/>
  <c r="AS176" i="2"/>
  <c r="AS120" i="2"/>
  <c r="E7" i="6"/>
  <c r="E5" i="7"/>
  <c r="F34" i="3" s="1"/>
  <c r="AS155" i="2"/>
  <c r="AE196" i="2"/>
  <c r="AF192" i="2"/>
  <c r="AF194" i="2" s="1"/>
  <c r="AN147" i="2"/>
  <c r="AN25" i="2"/>
  <c r="AN210" i="2" s="1"/>
  <c r="AN30" i="2"/>
  <c r="AN32" i="2" s="1"/>
  <c r="AO111" i="2"/>
  <c r="AO20" i="2"/>
  <c r="AO19" i="2" s="1"/>
  <c r="AP112" i="2"/>
  <c r="AP21" i="2"/>
  <c r="D3" i="7"/>
  <c r="E32" i="3" s="1"/>
  <c r="AO177" i="2"/>
  <c r="AO122" i="2"/>
  <c r="AO124" i="2" s="1"/>
  <c r="AO179" i="2" s="1"/>
  <c r="AQ84" i="2"/>
  <c r="AQ80" i="2"/>
  <c r="AQ86" i="2" s="1"/>
  <c r="AP52" i="2"/>
  <c r="AP54" i="2"/>
  <c r="AF200" i="2"/>
  <c r="AF207" i="2"/>
  <c r="AF201" i="2"/>
  <c r="AF162" i="2"/>
  <c r="AF172" i="2" s="1"/>
  <c r="AF202" i="2"/>
  <c r="AL180" i="2"/>
  <c r="AL33" i="2"/>
  <c r="AL34" i="2" s="1"/>
  <c r="AL212" i="2" s="1"/>
  <c r="AH206" i="2"/>
  <c r="AH205" i="2"/>
  <c r="AH154" i="2"/>
  <c r="AT43" i="2"/>
  <c r="AT13" i="2"/>
  <c r="AT15" i="2"/>
  <c r="AT18" i="2" s="1"/>
  <c r="D14" i="7"/>
  <c r="E43" i="3" s="1"/>
  <c r="AH165" i="2"/>
  <c r="AG163" i="2"/>
  <c r="AE25" i="10" l="1"/>
  <c r="AE26" i="10"/>
  <c r="AP111" i="2"/>
  <c r="AP20" i="2"/>
  <c r="AP19" i="2" s="1"/>
  <c r="AK160" i="2"/>
  <c r="AJ157" i="2"/>
  <c r="AT82" i="2"/>
  <c r="AT75" i="2"/>
  <c r="AT77" i="2" s="1"/>
  <c r="AT23" i="2" s="1"/>
  <c r="AT41" i="2"/>
  <c r="AT39" i="2" s="1"/>
  <c r="AQ112" i="2"/>
  <c r="AQ21" i="2"/>
  <c r="AI205" i="2"/>
  <c r="AI206" i="2"/>
  <c r="AI154" i="2"/>
  <c r="AM149" i="2"/>
  <c r="AN149" i="2" s="1"/>
  <c r="AN151" i="2" s="1"/>
  <c r="AS78" i="2"/>
  <c r="E11" i="6"/>
  <c r="F54" i="3"/>
  <c r="AM32" i="2"/>
  <c r="AF196" i="2"/>
  <c r="AG192" i="2"/>
  <c r="AG194" i="2" s="1"/>
  <c r="AQ52" i="2"/>
  <c r="AQ54" i="2"/>
  <c r="AM210" i="2"/>
  <c r="AR84" i="2"/>
  <c r="AR80" i="2"/>
  <c r="AR86" i="2" s="1"/>
  <c r="AN211" i="2"/>
  <c r="AT176" i="2"/>
  <c r="AT120" i="2"/>
  <c r="AQ113" i="2"/>
  <c r="AQ22" i="2"/>
  <c r="AL181" i="2"/>
  <c r="AF6" i="10" s="1"/>
  <c r="AF13" i="10" s="1"/>
  <c r="F8" i="3"/>
  <c r="E5" i="6"/>
  <c r="F6" i="3" s="1"/>
  <c r="AP177" i="2"/>
  <c r="AP122" i="2"/>
  <c r="AP124" i="2" s="1"/>
  <c r="AP179" i="2" s="1"/>
  <c r="AQ115" i="2"/>
  <c r="AQ24" i="2"/>
  <c r="AR57" i="2"/>
  <c r="AR59" i="2" s="1"/>
  <c r="AR50" i="2"/>
  <c r="D12" i="7"/>
  <c r="E41" i="3" s="1"/>
  <c r="AG207" i="2"/>
  <c r="AG201" i="2"/>
  <c r="AG200" i="2"/>
  <c r="AG162" i="2"/>
  <c r="AG202" i="2"/>
  <c r="E4" i="7"/>
  <c r="F33" i="3" s="1"/>
  <c r="AS66" i="2"/>
  <c r="AS37" i="2"/>
  <c r="AR70" i="2"/>
  <c r="AR68" i="2"/>
  <c r="AS114" i="2"/>
  <c r="AS23" i="2"/>
  <c r="E16" i="6" s="1"/>
  <c r="AI165" i="2"/>
  <c r="AH163" i="2"/>
  <c r="AO25" i="2"/>
  <c r="AO210" i="2" s="1"/>
  <c r="AO30" i="2"/>
  <c r="AO32" i="2" s="1"/>
  <c r="AO147" i="2"/>
  <c r="AF40" i="10" l="1"/>
  <c r="AF15" i="10"/>
  <c r="AO149" i="2"/>
  <c r="AO151" i="2" s="1"/>
  <c r="AR115" i="2"/>
  <c r="AR24" i="2"/>
  <c r="AT66" i="2"/>
  <c r="AT37" i="2"/>
  <c r="AM211" i="2"/>
  <c r="AM151" i="2"/>
  <c r="AO211" i="2"/>
  <c r="AR113" i="2"/>
  <c r="AR22" i="2"/>
  <c r="AN180" i="2"/>
  <c r="AN181" i="2" s="1"/>
  <c r="AH6" i="10" s="1"/>
  <c r="AH13" i="10" s="1"/>
  <c r="AN33" i="2"/>
  <c r="AN34" i="2" s="1"/>
  <c r="AN212" i="2" s="1"/>
  <c r="AQ111" i="2"/>
  <c r="AQ20" i="2"/>
  <c r="AQ19" i="2" s="1"/>
  <c r="AJ205" i="2"/>
  <c r="AJ206" i="2"/>
  <c r="AJ154" i="2"/>
  <c r="F17" i="3"/>
  <c r="F78" i="3"/>
  <c r="D11" i="7"/>
  <c r="E40" i="3" s="1"/>
  <c r="AG172" i="2"/>
  <c r="AL160" i="2"/>
  <c r="AK157" i="2"/>
  <c r="AS57" i="2"/>
  <c r="AS59" i="2" s="1"/>
  <c r="AS50" i="2"/>
  <c r="AH207" i="2"/>
  <c r="AH201" i="2"/>
  <c r="AH200" i="2"/>
  <c r="AH162" i="2"/>
  <c r="AH172" i="2" s="1"/>
  <c r="AH202" i="2"/>
  <c r="AS68" i="2"/>
  <c r="AS70" i="2"/>
  <c r="AJ165" i="2"/>
  <c r="AI163" i="2"/>
  <c r="AR52" i="2"/>
  <c r="AR54" i="2"/>
  <c r="E69" i="3"/>
  <c r="AG196" i="2"/>
  <c r="AH192" i="2"/>
  <c r="AP30" i="2"/>
  <c r="AP25" i="2"/>
  <c r="AP147" i="2"/>
  <c r="AS80" i="2"/>
  <c r="AS86" i="2" s="1"/>
  <c r="AS84" i="2"/>
  <c r="AQ177" i="2"/>
  <c r="AQ122" i="2"/>
  <c r="AQ124" i="2" s="1"/>
  <c r="AQ179" i="2" s="1"/>
  <c r="AR112" i="2"/>
  <c r="AR21" i="2"/>
  <c r="AL193" i="2"/>
  <c r="F73" i="3"/>
  <c r="B65" i="8" s="1"/>
  <c r="F12" i="3"/>
  <c r="F86" i="3"/>
  <c r="B68" i="8" s="1"/>
  <c r="D68" i="8" s="1"/>
  <c r="F82" i="3"/>
  <c r="F84" i="3"/>
  <c r="F81" i="3"/>
  <c r="B67" i="8" s="1"/>
  <c r="D67" i="8" s="1"/>
  <c r="F83" i="3"/>
  <c r="AT78" i="2"/>
  <c r="AP149" i="2" l="1"/>
  <c r="AH40" i="10"/>
  <c r="AH15" i="10"/>
  <c r="AH16" i="10" s="1"/>
  <c r="AF16" i="10"/>
  <c r="AF26" i="10" s="1"/>
  <c r="AF25" i="10"/>
  <c r="AS112" i="2"/>
  <c r="AS21" i="2"/>
  <c r="E14" i="6" s="1"/>
  <c r="AS115" i="2"/>
  <c r="AS24" i="2"/>
  <c r="E17" i="6" s="1"/>
  <c r="AM160" i="2"/>
  <c r="AL157" i="2"/>
  <c r="F67" i="3"/>
  <c r="AH194" i="2"/>
  <c r="D65" i="8"/>
  <c r="AR177" i="2"/>
  <c r="AR122" i="2"/>
  <c r="AR124" i="2" s="1"/>
  <c r="AR179" i="2" s="1"/>
  <c r="AQ147" i="2"/>
  <c r="AQ25" i="2"/>
  <c r="AQ210" i="2" s="1"/>
  <c r="AQ30" i="2"/>
  <c r="AQ32" i="2" s="1"/>
  <c r="AT57" i="2"/>
  <c r="AT59" i="2" s="1"/>
  <c r="AT21" i="2" s="1"/>
  <c r="AT50" i="2"/>
  <c r="AS113" i="2"/>
  <c r="AS22" i="2"/>
  <c r="E15" i="6" s="1"/>
  <c r="AN193" i="2"/>
  <c r="AP151" i="2"/>
  <c r="AP210" i="2"/>
  <c r="AI207" i="2"/>
  <c r="AI200" i="2"/>
  <c r="AI201" i="2"/>
  <c r="AI162" i="2"/>
  <c r="AI172" i="2" s="1"/>
  <c r="AI202" i="2"/>
  <c r="AT70" i="2"/>
  <c r="AT22" i="2" s="1"/>
  <c r="AT68" i="2"/>
  <c r="AM180" i="2"/>
  <c r="AM33" i="2"/>
  <c r="AT80" i="2"/>
  <c r="AT86" i="2" s="1"/>
  <c r="AT24" i="2" s="1"/>
  <c r="AT84" i="2"/>
  <c r="AK205" i="2"/>
  <c r="AK206" i="2"/>
  <c r="AK154" i="2"/>
  <c r="AR111" i="2"/>
  <c r="AR20" i="2"/>
  <c r="AR19" i="2" s="1"/>
  <c r="AP32" i="2"/>
  <c r="AK165" i="2"/>
  <c r="AJ163" i="2"/>
  <c r="AS52" i="2"/>
  <c r="AS54" i="2"/>
  <c r="AO180" i="2"/>
  <c r="AO181" i="2" s="1"/>
  <c r="AI6" i="10" s="1"/>
  <c r="AI13" i="10" s="1"/>
  <c r="AO33" i="2"/>
  <c r="AO34" i="2" s="1"/>
  <c r="AO212" i="2" s="1"/>
  <c r="AI40" i="10" l="1"/>
  <c r="AI15" i="10"/>
  <c r="AI16" i="10" s="1"/>
  <c r="AS111" i="2"/>
  <c r="AS20" i="2"/>
  <c r="AT52" i="2"/>
  <c r="AT54" i="2"/>
  <c r="AT20" i="2" s="1"/>
  <c r="AT19" i="2" s="1"/>
  <c r="AP180" i="2"/>
  <c r="AP181" i="2" s="1"/>
  <c r="AJ6" i="10" s="1"/>
  <c r="AJ13" i="10" s="1"/>
  <c r="AP33" i="2"/>
  <c r="AP34" i="2" s="1"/>
  <c r="AP212" i="2" s="1"/>
  <c r="AQ211" i="2"/>
  <c r="F79" i="3"/>
  <c r="F18" i="3"/>
  <c r="AS177" i="2"/>
  <c r="AS122" i="2"/>
  <c r="AS124" i="2" s="1"/>
  <c r="AS179" i="2" s="1"/>
  <c r="F57" i="3" s="1"/>
  <c r="AJ207" i="2"/>
  <c r="AJ201" i="2"/>
  <c r="AJ200" i="2"/>
  <c r="AJ162" i="2"/>
  <c r="AJ172" i="2" s="1"/>
  <c r="AJ202" i="2"/>
  <c r="AM34" i="2"/>
  <c r="AL165" i="2"/>
  <c r="AK163" i="2"/>
  <c r="AQ149" i="2"/>
  <c r="AQ151" i="2" s="1"/>
  <c r="AR30" i="2"/>
  <c r="AR32" i="2" s="1"/>
  <c r="AR25" i="2"/>
  <c r="AR210" i="2" s="1"/>
  <c r="AR147" i="2"/>
  <c r="AM181" i="2"/>
  <c r="AG6" i="10" s="1"/>
  <c r="AG13" i="10" s="1"/>
  <c r="AL205" i="2"/>
  <c r="AL206" i="2"/>
  <c r="AL154" i="2"/>
  <c r="F77" i="3"/>
  <c r="F16" i="3"/>
  <c r="F76" i="3"/>
  <c r="F15" i="3"/>
  <c r="AN160" i="2"/>
  <c r="AM157" i="2"/>
  <c r="AO193" i="2"/>
  <c r="AP211" i="2"/>
  <c r="AI192" i="2"/>
  <c r="AI194" i="2" s="1"/>
  <c r="AH196" i="2"/>
  <c r="AG40" i="10" l="1"/>
  <c r="AG15" i="10"/>
  <c r="AJ40" i="10"/>
  <c r="AJ15" i="10"/>
  <c r="AJ16" i="10" s="1"/>
  <c r="AQ180" i="2"/>
  <c r="AQ181" i="2" s="1"/>
  <c r="AK6" i="10" s="1"/>
  <c r="AK13" i="10" s="1"/>
  <c r="AQ33" i="2"/>
  <c r="AQ34" i="2" s="1"/>
  <c r="AQ212" i="2" s="1"/>
  <c r="AP193" i="2"/>
  <c r="AR211" i="2"/>
  <c r="AT177" i="2"/>
  <c r="AT122" i="2"/>
  <c r="AT124" i="2" s="1"/>
  <c r="AT179" i="2" s="1"/>
  <c r="AM193" i="2"/>
  <c r="AM165" i="2"/>
  <c r="AL163" i="2"/>
  <c r="AM212" i="2"/>
  <c r="AR149" i="2"/>
  <c r="AR151" i="2" s="1"/>
  <c r="AM205" i="2"/>
  <c r="AM206" i="2"/>
  <c r="AM154" i="2"/>
  <c r="AS19" i="2"/>
  <c r="E13" i="6"/>
  <c r="AK200" i="2"/>
  <c r="AK201" i="2"/>
  <c r="AK207" i="2"/>
  <c r="AK162" i="2"/>
  <c r="AK172" i="2" s="1"/>
  <c r="AK202" i="2"/>
  <c r="AT147" i="2"/>
  <c r="AT30" i="2"/>
  <c r="AT32" i="2" s="1"/>
  <c r="AT25" i="2"/>
  <c r="AT210" i="2" s="1"/>
  <c r="F55" i="3"/>
  <c r="AJ192" i="2"/>
  <c r="AJ194" i="2" s="1"/>
  <c r="AI196" i="2"/>
  <c r="AO160" i="2"/>
  <c r="AN157" i="2"/>
  <c r="AK40" i="10" l="1"/>
  <c r="AK15" i="10"/>
  <c r="AK16" i="10" s="1"/>
  <c r="AG16" i="10"/>
  <c r="AG26" i="10" s="1"/>
  <c r="AH26" i="10" s="1"/>
  <c r="AI26" i="10" s="1"/>
  <c r="AJ26" i="10" s="1"/>
  <c r="AG25" i="10"/>
  <c r="AH25" i="10" s="1"/>
  <c r="AI25" i="10" s="1"/>
  <c r="AJ25" i="10" s="1"/>
  <c r="AK25" i="10" s="1"/>
  <c r="AR180" i="2"/>
  <c r="AR181" i="2" s="1"/>
  <c r="AL6" i="10" s="1"/>
  <c r="AL13" i="10" s="1"/>
  <c r="AR33" i="2"/>
  <c r="AR34" i="2" s="1"/>
  <c r="AN165" i="2"/>
  <c r="AM163" i="2"/>
  <c r="AJ196" i="2"/>
  <c r="AK192" i="2"/>
  <c r="AK194" i="2" s="1"/>
  <c r="AT211" i="2"/>
  <c r="AS30" i="2"/>
  <c r="AS147" i="2"/>
  <c r="AS149" i="2" s="1"/>
  <c r="AT149" i="2" s="1"/>
  <c r="AT151" i="2" s="1"/>
  <c r="AS25" i="2"/>
  <c r="E12" i="6"/>
  <c r="AP160" i="2"/>
  <c r="AO157" i="2"/>
  <c r="AL200" i="2"/>
  <c r="AL201" i="2"/>
  <c r="AL207" i="2"/>
  <c r="AL162" i="2"/>
  <c r="AL172" i="2" s="1"/>
  <c r="AL202" i="2"/>
  <c r="F14" i="3"/>
  <c r="F75" i="3"/>
  <c r="AN206" i="2"/>
  <c r="AN205" i="2"/>
  <c r="AN154" i="2"/>
  <c r="AQ193" i="2"/>
  <c r="AK26" i="10" l="1"/>
  <c r="AL40" i="10"/>
  <c r="AL15" i="10"/>
  <c r="AL16" i="10" s="1"/>
  <c r="AL25" i="10"/>
  <c r="AT180" i="2"/>
  <c r="AT181" i="2" s="1"/>
  <c r="AT193" i="2" s="1"/>
  <c r="AT33" i="2"/>
  <c r="AT34" i="2" s="1"/>
  <c r="AT212" i="2" s="1"/>
  <c r="F74" i="3"/>
  <c r="B66" i="8" s="1"/>
  <c r="F13" i="3"/>
  <c r="AS210" i="2"/>
  <c r="E18" i="6"/>
  <c r="AS32" i="2"/>
  <c r="E23" i="6"/>
  <c r="AM207" i="2"/>
  <c r="AM201" i="2"/>
  <c r="AM200" i="2"/>
  <c r="AM162" i="2"/>
  <c r="AM172" i="2" s="1"/>
  <c r="AM202" i="2"/>
  <c r="AO165" i="2"/>
  <c r="AN163" i="2"/>
  <c r="AS151" i="2"/>
  <c r="AR212" i="2"/>
  <c r="AQ160" i="2"/>
  <c r="AP157" i="2"/>
  <c r="AL192" i="2"/>
  <c r="AL194" i="2" s="1"/>
  <c r="AK196" i="2"/>
  <c r="AO206" i="2"/>
  <c r="AO205" i="2"/>
  <c r="AO154" i="2"/>
  <c r="AR193" i="2"/>
  <c r="AL26" i="10" l="1"/>
  <c r="AS180" i="2"/>
  <c r="AS33" i="2"/>
  <c r="E26" i="6" s="1"/>
  <c r="AL196" i="2"/>
  <c r="AM192" i="2"/>
  <c r="AM194" i="2" s="1"/>
  <c r="AQ157" i="2"/>
  <c r="AR160" i="2"/>
  <c r="F80" i="3"/>
  <c r="F19" i="3"/>
  <c r="F85" i="3"/>
  <c r="F24" i="3"/>
  <c r="AP206" i="2"/>
  <c r="AP205" i="2"/>
  <c r="AP154" i="2"/>
  <c r="AS211" i="2"/>
  <c r="E25" i="6"/>
  <c r="AN200" i="2"/>
  <c r="AN207" i="2"/>
  <c r="AN201" i="2"/>
  <c r="AN162" i="2"/>
  <c r="AN172" i="2" s="1"/>
  <c r="AN202" i="2"/>
  <c r="AP165" i="2"/>
  <c r="AO163" i="2"/>
  <c r="D66" i="8"/>
  <c r="C68" i="8"/>
  <c r="C66" i="8"/>
  <c r="C67" i="8"/>
  <c r="AS34" i="2" l="1"/>
  <c r="AS212" i="2" s="1"/>
  <c r="AQ205" i="2"/>
  <c r="AQ206" i="2"/>
  <c r="AQ154" i="2"/>
  <c r="AO207" i="2"/>
  <c r="AO201" i="2"/>
  <c r="AO200" i="2"/>
  <c r="AO162" i="2"/>
  <c r="AO172" i="2" s="1"/>
  <c r="AO202" i="2"/>
  <c r="AM196" i="2"/>
  <c r="AN192" i="2"/>
  <c r="AN194" i="2" s="1"/>
  <c r="AS160" i="2"/>
  <c r="AR157" i="2"/>
  <c r="AQ165" i="2"/>
  <c r="AP163" i="2"/>
  <c r="F87" i="3"/>
  <c r="F26" i="3"/>
  <c r="F27" i="3"/>
  <c r="F88" i="3"/>
  <c r="B69" i="8" s="1"/>
  <c r="AS181" i="2"/>
  <c r="AM6" i="10" s="1"/>
  <c r="AM13" i="10" s="1"/>
  <c r="F58" i="3"/>
  <c r="AM40" i="10" l="1"/>
  <c r="AM15" i="10"/>
  <c r="E27" i="6"/>
  <c r="F28" i="3" s="1"/>
  <c r="E9" i="7"/>
  <c r="F38" i="3" s="1"/>
  <c r="AT160" i="2"/>
  <c r="AT157" i="2" s="1"/>
  <c r="AS157" i="2"/>
  <c r="AS193" i="2"/>
  <c r="F68" i="3" s="1"/>
  <c r="F59" i="3"/>
  <c r="D69" i="8"/>
  <c r="C69" i="8"/>
  <c r="AR205" i="2"/>
  <c r="AR206" i="2"/>
  <c r="AR154" i="2"/>
  <c r="AN196" i="2"/>
  <c r="AO192" i="2"/>
  <c r="AO194" i="2" s="1"/>
  <c r="AR165" i="2"/>
  <c r="AQ163" i="2"/>
  <c r="AP207" i="2"/>
  <c r="AP201" i="2"/>
  <c r="AP200" i="2"/>
  <c r="AP162" i="2"/>
  <c r="AP172" i="2" s="1"/>
  <c r="AP202" i="2"/>
  <c r="F89" i="3"/>
  <c r="B44" i="10" l="1"/>
  <c r="B43" i="10"/>
  <c r="B48" i="10"/>
  <c r="B50" i="10" s="1"/>
  <c r="B41" i="10"/>
  <c r="B42" i="10" s="1"/>
  <c r="B49" i="10"/>
  <c r="AM16" i="10"/>
  <c r="C55" i="10"/>
  <c r="D55" i="10"/>
  <c r="F55" i="10"/>
  <c r="E55" i="10"/>
  <c r="B28" i="10"/>
  <c r="B55" i="10"/>
  <c r="B29" i="10"/>
  <c r="B30" i="10" s="1"/>
  <c r="AM25" i="10"/>
  <c r="B32" i="10" s="1"/>
  <c r="C32" i="10" s="1"/>
  <c r="AQ207" i="2"/>
  <c r="AQ201" i="2"/>
  <c r="AQ200" i="2"/>
  <c r="AQ162" i="2"/>
  <c r="AQ172" i="2" s="1"/>
  <c r="AQ202" i="2"/>
  <c r="G70" i="8"/>
  <c r="B70" i="8"/>
  <c r="D70" i="8" s="1"/>
  <c r="AS165" i="2"/>
  <c r="AR163" i="2"/>
  <c r="AO196" i="2"/>
  <c r="AP192" i="2"/>
  <c r="AP194" i="2" s="1"/>
  <c r="AT205" i="2"/>
  <c r="AT206" i="2"/>
  <c r="AT154" i="2"/>
  <c r="AS205" i="2"/>
  <c r="AS206" i="2"/>
  <c r="E6" i="7"/>
  <c r="F35" i="3" s="1"/>
  <c r="AS154" i="2"/>
  <c r="B31" i="10" l="1"/>
  <c r="B47" i="10"/>
  <c r="C47" i="10" s="1"/>
  <c r="AM26" i="10"/>
  <c r="B33" i="10" s="1"/>
  <c r="C33" i="10" s="1"/>
  <c r="C50" i="10"/>
  <c r="E14" i="7"/>
  <c r="F43" i="3" s="1"/>
  <c r="AT165" i="2"/>
  <c r="AT163" i="2" s="1"/>
  <c r="AS163" i="2"/>
  <c r="E3" i="7"/>
  <c r="F32" i="3" s="1"/>
  <c r="AQ192" i="2"/>
  <c r="AQ194" i="2" s="1"/>
  <c r="AP196" i="2"/>
  <c r="AR207" i="2"/>
  <c r="AR201" i="2"/>
  <c r="AR200" i="2"/>
  <c r="AR162" i="2"/>
  <c r="AR172" i="2" s="1"/>
  <c r="AR202" i="2"/>
  <c r="AQ196" i="2" l="1"/>
  <c r="AR192" i="2"/>
  <c r="AR194" i="2" s="1"/>
  <c r="E12" i="7"/>
  <c r="F41" i="3" s="1"/>
  <c r="AS207" i="2"/>
  <c r="AS200" i="2"/>
  <c r="AS201" i="2"/>
  <c r="AS162" i="2"/>
  <c r="AS202" i="2"/>
  <c r="AT200" i="2"/>
  <c r="AT207" i="2"/>
  <c r="AT201" i="2"/>
  <c r="AT162" i="2"/>
  <c r="AT172" i="2" s="1"/>
  <c r="AT202" i="2"/>
  <c r="E11" i="7" l="1"/>
  <c r="F40" i="3" s="1"/>
  <c r="AS172" i="2"/>
  <c r="AS192" i="2"/>
  <c r="AS194" i="2" s="1"/>
  <c r="AR196" i="2"/>
  <c r="F69" i="3" l="1"/>
  <c r="AT192" i="2"/>
  <c r="AT194" i="2" s="1"/>
  <c r="AT196" i="2" s="1"/>
  <c r="AS196" i="2"/>
</calcChain>
</file>

<file path=xl/sharedStrings.xml><?xml version="1.0" encoding="utf-8"?>
<sst xmlns="http://schemas.openxmlformats.org/spreadsheetml/2006/main" count="601" uniqueCount="262">
  <si>
    <t>Выбранный сценарий</t>
  </si>
  <si>
    <t>Параметр</t>
  </si>
  <si>
    <t>Размерность</t>
  </si>
  <si>
    <t>Значение</t>
  </si>
  <si>
    <t>Сценарий 1</t>
  </si>
  <si>
    <t>Сценарий 2</t>
  </si>
  <si>
    <t>Объемные показатели</t>
  </si>
  <si>
    <t>Начальные типовые продажи в месяц</t>
  </si>
  <si>
    <t>шт</t>
  </si>
  <si>
    <t>Прирост типовых продаж</t>
  </si>
  <si>
    <t>%</t>
  </si>
  <si>
    <t>Комиссионный доход компании</t>
  </si>
  <si>
    <t>Сезонность по месяцам</t>
  </si>
  <si>
    <t>Начальный средний чек</t>
  </si>
  <si>
    <t>тыс. руб.</t>
  </si>
  <si>
    <t>Прирост среднего чека</t>
  </si>
  <si>
    <t>Период прироста среднего чека</t>
  </si>
  <si>
    <t>мес.</t>
  </si>
  <si>
    <t>Сдвиг месяца прироста (1=январь)</t>
  </si>
  <si>
    <t>Ставка НДС по продажам</t>
  </si>
  <si>
    <t>Воронка продаж</t>
  </si>
  <si>
    <t>Конверсия от флаера до звонка</t>
  </si>
  <si>
    <t>Конверсия от звонка до согласия</t>
  </si>
  <si>
    <t>Конверсия от согласия до оплаты</t>
  </si>
  <si>
    <t>Переменные расходы</t>
  </si>
  <si>
    <t>Стоимость печати флаера с учетом НДС</t>
  </si>
  <si>
    <t>руб.</t>
  </si>
  <si>
    <t>Ставка НДС по печати флаера</t>
  </si>
  <si>
    <t>Прирост стоимости печати флаера</t>
  </si>
  <si>
    <t>Период прироста стоимости печати флаера</t>
  </si>
  <si>
    <t>Стоимость распространения флаера</t>
  </si>
  <si>
    <t>Прирост стоимости распространения флаера</t>
  </si>
  <si>
    <t>Период прироста стоимости распространения флаера</t>
  </si>
  <si>
    <t>Среднее время одного звонка</t>
  </si>
  <si>
    <t>мин.</t>
  </si>
  <si>
    <t>Прирост времени одного звонка</t>
  </si>
  <si>
    <t>Период прироста времени</t>
  </si>
  <si>
    <t>Стоимость одной минуты разговора с учетом НДС</t>
  </si>
  <si>
    <t>Ставка НДС по минуте разговора</t>
  </si>
  <si>
    <t>Прирост стоимости минуты разговора</t>
  </si>
  <si>
    <t>Период прироста стоимости</t>
  </si>
  <si>
    <t>Расход бумаги на один договор</t>
  </si>
  <si>
    <t>шт.</t>
  </si>
  <si>
    <t xml:space="preserve">Прирост расхода бумаги на договор </t>
  </si>
  <si>
    <t>Период прироста расхода</t>
  </si>
  <si>
    <t>Стоимость одного листа бумаги</t>
  </si>
  <si>
    <t>Прирост стоимости одного листа бумаги</t>
  </si>
  <si>
    <t>Стоимость краски на 1 договор с учетом НДС</t>
  </si>
  <si>
    <t>Ставка НДС по расходам краски</t>
  </si>
  <si>
    <t>Прирост стоимости на расходы по краске</t>
  </si>
  <si>
    <t>Период прироста стоимости расходов на краску</t>
  </si>
  <si>
    <t>Постоянные расходы</t>
  </si>
  <si>
    <t>Начальная стоимость доступа к системе поиска туров с учетом НДС</t>
  </si>
  <si>
    <t>Ставка НДС по доступу к системе поиска</t>
  </si>
  <si>
    <t>Прирост стоимости доступа к системе поиска</t>
  </si>
  <si>
    <t xml:space="preserve">Период прироста стоимости </t>
  </si>
  <si>
    <t>Начальная стоимость аренды офиса с учетом НДС</t>
  </si>
  <si>
    <t>Ставка НДС по аренде офиса</t>
  </si>
  <si>
    <t>Прирост стоимости аренды офиса за период</t>
  </si>
  <si>
    <t>Капитальные расходы</t>
  </si>
  <si>
    <t>Стоимость МФУ</t>
  </si>
  <si>
    <t>Дата следующих покупок МФУ</t>
  </si>
  <si>
    <t>Остаточная стоимость МФУ</t>
  </si>
  <si>
    <t>Срок амортизации принтера</t>
  </si>
  <si>
    <t>Заработная плата net</t>
  </si>
  <si>
    <t>Телефонный оператор</t>
  </si>
  <si>
    <t>Продавец</t>
  </si>
  <si>
    <t>Заработная плата gross</t>
  </si>
  <si>
    <t>Ставка НДФЛ</t>
  </si>
  <si>
    <t>Уровень страховых взносов</t>
  </si>
  <si>
    <t>Налог на прибыль</t>
  </si>
  <si>
    <t>Прибыль до налогов накопленным итогом</t>
  </si>
  <si>
    <t>Ставка налога на прибыль</t>
  </si>
  <si>
    <t>Ставка НДС по</t>
  </si>
  <si>
    <t xml:space="preserve">Прирост стоимости </t>
  </si>
  <si>
    <t>Кол-во продаж без сезонности</t>
  </si>
  <si>
    <t>Сезонность</t>
  </si>
  <si>
    <t>Кол-во продаж с учетом сезонности</t>
  </si>
  <si>
    <t>Средний чек с учетом НДС</t>
  </si>
  <si>
    <t>Средний чек без учета НДС</t>
  </si>
  <si>
    <t>Объем продаж в деньгах с учетом НДС</t>
  </si>
  <si>
    <t>Объем продаж в деньгах без учета НДС</t>
  </si>
  <si>
    <t>Отчет о прибылях и убытках</t>
  </si>
  <si>
    <t>Выручка</t>
  </si>
  <si>
    <t>Валовая прибыль</t>
  </si>
  <si>
    <t>EBITDA</t>
  </si>
  <si>
    <t>Амортизация</t>
  </si>
  <si>
    <t>EBIT / Прибыль до налогообложения</t>
  </si>
  <si>
    <t>Чистая прибыль</t>
  </si>
  <si>
    <t>Количество розданных флаеров</t>
  </si>
  <si>
    <t>Количество звонков</t>
  </si>
  <si>
    <t>Количество согласившихся</t>
  </si>
  <si>
    <t>Количество оплаченных туров</t>
  </si>
  <si>
    <t>Стоимость печати флаера без учета НДС</t>
  </si>
  <si>
    <t>Драйвер расходов - количество розданных флаеров</t>
  </si>
  <si>
    <t>Расходы на печать флаеров с учетом НДС</t>
  </si>
  <si>
    <t>Расходы на печать флаеров без учета НДС</t>
  </si>
  <si>
    <t>Распространение флаеров</t>
  </si>
  <si>
    <t>Расходы на распространение флаеров</t>
  </si>
  <si>
    <t>Тариф одной минуты разговора с учетом НДС</t>
  </si>
  <si>
    <t>Тариф одной минуты разговора без учета НДС</t>
  </si>
  <si>
    <t>Драйвер расходов - количество звонков</t>
  </si>
  <si>
    <t>Расходы на звонки с учетом НДС</t>
  </si>
  <si>
    <t>Расходы на звонки без учета НДС</t>
  </si>
  <si>
    <t>Драйвер расходов - количество оплаченных туров</t>
  </si>
  <si>
    <t>Расход бумаги</t>
  </si>
  <si>
    <t>Стоимость краски на 1 договор без учета НДС</t>
  </si>
  <si>
    <t>Расход краски с учетом НДС</t>
  </si>
  <si>
    <t>Расход краски без учета НДС</t>
  </si>
  <si>
    <t>Доступ к системе поиска туров с учетом НДС</t>
  </si>
  <si>
    <t>Доступ к системе поиска туров без учета НДС</t>
  </si>
  <si>
    <t>Аренда офиса с учетом НДС</t>
  </si>
  <si>
    <t>Аренда офиса без учета НДС</t>
  </si>
  <si>
    <t>ФОТ, включая налоги</t>
  </si>
  <si>
    <t>в т.ч. зарплата net</t>
  </si>
  <si>
    <t>в т.ч. НДФЛ</t>
  </si>
  <si>
    <t>в т.ч. страховые взносы</t>
  </si>
  <si>
    <t>Покупка МФУ</t>
  </si>
  <si>
    <t>Амортизация МФУ</t>
  </si>
  <si>
    <t>Проверка расходов</t>
  </si>
  <si>
    <t>В отношении к объему продаж</t>
  </si>
  <si>
    <t>Расчеты по НДС</t>
  </si>
  <si>
    <t>Исходящий НДС</t>
  </si>
  <si>
    <t>Входящий НДС</t>
  </si>
  <si>
    <t>НДС к уплате</t>
  </si>
  <si>
    <t>Зарплаты gross</t>
  </si>
  <si>
    <t>Итого зарплаты gross</t>
  </si>
  <si>
    <t>НДФЛ</t>
  </si>
  <si>
    <t>Итого НДФЛ</t>
  </si>
  <si>
    <t>Зарплаты net</t>
  </si>
  <si>
    <t>Итого зарплаты net</t>
  </si>
  <si>
    <t>Страховые взносы за сотрудников</t>
  </si>
  <si>
    <t>Итого страховые взносы</t>
  </si>
  <si>
    <t>Расчет налога на прибыль</t>
  </si>
  <si>
    <t>Прибыль до налогов</t>
  </si>
  <si>
    <t>Баланс</t>
  </si>
  <si>
    <t>Активы</t>
  </si>
  <si>
    <t>Внеоборотные активы</t>
  </si>
  <si>
    <t>Основные средства</t>
  </si>
  <si>
    <t>Оборотные активы</t>
  </si>
  <si>
    <t>Запасы</t>
  </si>
  <si>
    <t>Дебиторская задолженность</t>
  </si>
  <si>
    <t>Денежные средства</t>
  </si>
  <si>
    <t>Пассивы</t>
  </si>
  <si>
    <t>Капитал и резервы</t>
  </si>
  <si>
    <t>Уставный капитал</t>
  </si>
  <si>
    <t>Нераспределенная прибыль</t>
  </si>
  <si>
    <t>Долгосрочные обязательства</t>
  </si>
  <si>
    <t>Заемные средства</t>
  </si>
  <si>
    <t>Краткосрочные обязательства</t>
  </si>
  <si>
    <t>Кредиторская задолженность</t>
  </si>
  <si>
    <t>Проверка</t>
  </si>
  <si>
    <t>Отчет о движении денежных средств</t>
  </si>
  <si>
    <t>Операционная деятельность</t>
  </si>
  <si>
    <t>Денежные средства от покупателей</t>
  </si>
  <si>
    <t>Денежные средства на переменные расходы</t>
  </si>
  <si>
    <t>Денежные средства на постоянные расходы</t>
  </si>
  <si>
    <t>Уплаченный НДС</t>
  </si>
  <si>
    <t>Уплаченный налог на прибыль</t>
  </si>
  <si>
    <t>Чистое движение средств от операционной деятельности</t>
  </si>
  <si>
    <t>Инвестиционная деятельность</t>
  </si>
  <si>
    <t>Покупка основных средств</t>
  </si>
  <si>
    <t>Чистое движение средств от инвестиционной деятельности</t>
  </si>
  <si>
    <t>Финансовая деятельность</t>
  </si>
  <si>
    <t>Привлечение капитала</t>
  </si>
  <si>
    <t>Привлечение/погашение кредитов</t>
  </si>
  <si>
    <t>Чистое движение средств от финансовой деятельности</t>
  </si>
  <si>
    <t>Средства на счетах на начало периода</t>
  </si>
  <si>
    <t>Итого движение денежных средств за период</t>
  </si>
  <si>
    <t>Средства на счетах на конец периода</t>
  </si>
  <si>
    <t>Показатели эффективности</t>
  </si>
  <si>
    <t>Финансовая устойчивость</t>
  </si>
  <si>
    <t>Коэффициент финансовой устойчивости</t>
  </si>
  <si>
    <t>не ниже</t>
  </si>
  <si>
    <t>Коэффициент автономии</t>
  </si>
  <si>
    <t>Debt-to-equity</t>
  </si>
  <si>
    <t>не выше</t>
  </si>
  <si>
    <t>Ликвидность</t>
  </si>
  <si>
    <t>Коэффициент текущей ликвидности</t>
  </si>
  <si>
    <t>Коэффициент быстрой ликвидности</t>
  </si>
  <si>
    <t>Коэффициент обеспеченности собственными средствами</t>
  </si>
  <si>
    <t>Рентабельность</t>
  </si>
  <si>
    <t>Валовая маржа</t>
  </si>
  <si>
    <t>Операционная маржа</t>
  </si>
  <si>
    <t>Маржа чистой прибыли</t>
  </si>
  <si>
    <t>Объёмные показатели</t>
  </si>
  <si>
    <t xml:space="preserve"> Статья</t>
  </si>
  <si>
    <t>ед. изм.</t>
  </si>
  <si>
    <t>Количество</t>
  </si>
  <si>
    <t>Средний чек</t>
  </si>
  <si>
    <t>Объем продаж с учетом НДС</t>
  </si>
  <si>
    <t>Маржа от выручки (по частям ОПУ)</t>
  </si>
  <si>
    <t>% от выручки</t>
  </si>
  <si>
    <t>Чистая прибыль (маржа чистой прибыли)</t>
  </si>
  <si>
    <t>УТВЕРЖДАЮ</t>
  </si>
  <si>
    <t>_______________________</t>
  </si>
  <si>
    <t>дата</t>
  </si>
  <si>
    <t>Итого 2026</t>
  </si>
  <si>
    <t>СОГЛАСОВАНО</t>
  </si>
  <si>
    <t>______________________ /</t>
  </si>
  <si>
    <t>Количество продаж без учета сезонности</t>
  </si>
  <si>
    <t>Количество продаж с учетом сезонности</t>
  </si>
  <si>
    <t>Операционная прибыль</t>
  </si>
  <si>
    <t>Остаток денежных средств на счетах</t>
  </si>
  <si>
    <t>Маржа от выручки за 3-й год работы (водопад)</t>
  </si>
  <si>
    <t>база</t>
  </si>
  <si>
    <t>высота</t>
  </si>
  <si>
    <t>Отчет о движении денежных средств по месяцам (лист «Расчеты»)</t>
  </si>
  <si>
    <t>Период (t), мес.</t>
  </si>
  <si>
    <t>Месяц</t>
  </si>
  <si>
    <t>Привлечение капитала (взносы акционера в уставный капитал)</t>
  </si>
  <si>
    <t>Оценка инвестиционной привлекательности проекта</t>
  </si>
  <si>
    <t>Потоки по инвестиционному проекту для акционера будут:</t>
  </si>
  <si>
    <t>Взносы акционера в уставный капитал (вложения самого акционера)</t>
  </si>
  <si>
    <t>Итого денежный поток для акционера</t>
  </si>
  <si>
    <t>Дисконтированные потоки</t>
  </si>
  <si>
    <t>Расчет ставки дисконтирования по модели Шарпа (CAPM):</t>
  </si>
  <si>
    <t xml:space="preserve">    безрисковая ставка (Rf)</t>
  </si>
  <si>
    <t xml:space="preserve">    коэффициент бета (β)</t>
  </si>
  <si>
    <t xml:space="preserve">    доходность рынка (Rm)</t>
  </si>
  <si>
    <t>Ставка дисконтирования, годовая = Rf + β × (Rm − Rf)</t>
  </si>
  <si>
    <t>Ставка дисконтирования, месячная = годовая / 12</t>
  </si>
  <si>
    <t>Кумулятивный недисконтированный денежный поток</t>
  </si>
  <si>
    <t>Кумулятивный дисконтированный денежный поток</t>
  </si>
  <si>
    <t>Чистая приведенная стоимость (NPV), тыс. руб.</t>
  </si>
  <si>
    <t>Внутренняя норма доходности (IRR), % в месяц</t>
  </si>
  <si>
    <t>Внутренняя норма доходности (IRR), % годовых (месячная × 12)</t>
  </si>
  <si>
    <t>Индекс доходности (PI)</t>
  </si>
  <si>
    <t>Срок окупаемости недисконтированный, мес. и лет</t>
  </si>
  <si>
    <t>Срок окупаемости дисконтированный, мес. и лет</t>
  </si>
  <si>
    <t>Покупка готового бизнеса: модифицированная норма доходности (MIRR)</t>
  </si>
  <si>
    <t>Цена покупки бизнеса в декабре 2025, тыс. руб.</t>
  </si>
  <si>
    <t>Ставка финансирования, годовая и месячная (/12)</t>
  </si>
  <si>
    <t>Ставка реинвестирования, годовая и месячная (/12)</t>
  </si>
  <si>
    <t>Денежный поток сценария покупки бизнеса</t>
  </si>
  <si>
    <t>Модифицированная внутренняя норма доходности (MIRR), % в месяц</t>
  </si>
  <si>
    <t>Модифицированная внутренняя норма доходности (MIRR), % годовых (× 12)</t>
  </si>
  <si>
    <t>Справочно: IRR сценария покупки, % годовых</t>
  </si>
  <si>
    <t>Справочно: NPV сценария покупки по ставке Шарпа, тыс. руб.</t>
  </si>
  <si>
    <t>Проверки</t>
  </si>
  <si>
    <t>NPV как сумма дисконтированных потоков (строка 16)</t>
  </si>
  <si>
    <t>Наращенная стоимость положительных потоков (ставка реинвестирования)</t>
  </si>
  <si>
    <t>Приведённая стоимость отрицательных потоков (ставка финансирования)</t>
  </si>
  <si>
    <t>MIRR месячная вручную = (FV+ / −PV−)^(1/36) − 1</t>
  </si>
  <si>
    <t>Анализ чувствительности NPV к ставке дисконтирования</t>
  </si>
  <si>
    <t>Требуемая доходность Re, годовая</t>
  </si>
  <si>
    <t>NPV, тыс. руб.</t>
  </si>
  <si>
    <t>Выводы</t>
  </si>
  <si>
    <t>Инвестиционная привлекательность проекта</t>
  </si>
  <si>
    <t>•  Ставка дисконтирования по модели Шарпа: Re = 1,5% + 1,25 × (12% − 1,5%) = 14,63% годовых, в месяц 1,219%.</t>
  </si>
  <si>
    <t>•  NPV = +958,5 тыс. руб. (&gt; 0) — проект создаёт стоимость для акционера.</t>
  </si>
  <si>
    <t>•  IRR = 5,207% в месяц, или 62,49% годовых — многократно выше требуемой доходности 14,63%.</t>
  </si>
  <si>
    <t>•  PI = 1,80 (&gt; 1): на каждый рубль приведённых вложений приходится 1,80 руб. приведённых поступлений.</t>
  </si>
  <si>
    <t>•  Окупаемость: 21,8 мес. (1,8 года) обыкновенная и 23,4 мес. (1,9 года) дисконтированная — внутри трёхлетнего горизонта модели.</t>
  </si>
  <si>
    <t>•  При отклонении ставки на ±5 п. п. NPV остаётся положительным (от 802,1 до 1 134,7 тыс. руб.) — вывод устойчив.</t>
  </si>
  <si>
    <t>•  Вывод: по всем четырём критериям — NPV, IRR, PI и сроку окупаемости — проект инвестиционно привлекателен.</t>
  </si>
  <si>
    <t>Покупка готового бизнеса за 1 млн руб.</t>
  </si>
  <si>
    <t>•  Поток покупателя: −1 000 тыс. руб. в декабре 2025 и далее 36 месяцев потоков самого бизнеса (строка 13).</t>
  </si>
  <si>
    <t>•  MIRR = 2,229% в месяц, или 26,75% годовых при ставке реинвестирования 10% и ставке финансирования 12% годовых.</t>
  </si>
  <si>
    <t>•  Это выше требуемой доходности 14,63%, а NPV сценария покупки = +750,1 тыс. руб. (&gt; 0) — покупка за 1 млн руб. выгодна.</t>
  </si>
  <si>
    <t>•  MIRR (26,75%) ниже обычной IRR того же потока (45,73%): IRR неявно предполагает реинвестирование поступлений под саму себя, MIRR снимает это допущение и даёт более консервативную оценку доходности покупки.</t>
  </si>
  <si>
    <t>Инвестиционный анализ проекта «Альфа»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</si>
</sst>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.0%"/>
    <numFmt numFmtId="165" formatCode="#,##0.0"/>
    <numFmt numFmtId="166" formatCode="mmm\ yyyy"/>
    <numFmt numFmtId="167" formatCode="0.000%"/>
    <numFmt numFmtId="168" formatCode="0.000"/>
    <numFmt numFmtId="169" formatCode="0.0"/>
    <numFmt numFmtId="170" formatCode="0.00000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1"/>
      <color theme="9" tint="0.39991454817346722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color theme="9" tint="0.39991454817346722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11"/>
      <name val="Calibri"/>
    </font>
    <font>
      <b/>
      <sz val="11"/>
      <name val="Calibri"/>
    </font>
    <font>
      <i/>
      <sz val="9"/>
      <name val="Calibri"/>
    </font>
    <font>
      <b/>
      <sz val="16"/>
      <name val="Calibri"/>
    </font>
    <font>
      <b/>
      <sz val="11"/>
      <name val="Calibri"/>
    </font>
    <font>
      <i/>
      <sz val="10"/>
      <color rgb="FF808080"/>
      <name val="Calibri"/>
    </font>
    <font>
      <b/>
      <sz val="11"/>
      <color theme="3"/>
      <name val="Calibri"/>
    </font>
    <font>
      <b/>
      <sz val="11"/>
      <color theme="1"/>
      <name val="Calibri"/>
    </font>
    <font>
      <b/>
      <sz val="11"/>
      <color theme="9" tint="0.39991454817346722"/>
      <name val="Calibri"/>
    </font>
  </fonts>
  <fills count="15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rgb="FFFFF2CC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79998168889431442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0">
    <xf numFmtId="0" fontId="0" fillId="0" borderId="0"/>
    <xf numFmtId="0" fontId="7" fillId="0" borderId="1"/>
    <xf numFmtId="0" fontId="9" fillId="2" borderId="0"/>
    <xf numFmtId="4" fontId="6" fillId="12" borderId="0"/>
    <xf numFmtId="0" fontId="10" fillId="0" borderId="0"/>
    <xf numFmtId="9" fontId="12" fillId="0" borderId="0"/>
    <xf numFmtId="0" fontId="9" fillId="5" borderId="0"/>
    <xf numFmtId="0" fontId="6" fillId="6" borderId="0"/>
    <xf numFmtId="0" fontId="6" fillId="9" borderId="0"/>
    <xf numFmtId="0" fontId="6" fillId="10" borderId="0"/>
  </cellStyleXfs>
  <cellXfs count="144">
    <xf numFmtId="0" fontId="0" fillId="0" borderId="0" xfId="0"/>
    <xf numFmtId="0" fontId="7" fillId="4" borderId="1" xfId="1" applyFill="1"/>
    <xf numFmtId="0" fontId="10" fillId="4" borderId="1" xfId="4" applyFill="1" applyBorder="1"/>
    <xf numFmtId="10" fontId="10" fillId="0" borderId="0" xfId="4" applyNumberFormat="1"/>
    <xf numFmtId="164" fontId="10" fillId="0" borderId="0" xfId="4" applyNumberFormat="1"/>
    <xf numFmtId="17" fontId="7" fillId="4" borderId="1" xfId="1" applyNumberFormat="1" applyFill="1"/>
    <xf numFmtId="0" fontId="8" fillId="2" borderId="1" xfId="2" applyFont="1" applyBorder="1"/>
    <xf numFmtId="17" fontId="8" fillId="2" borderId="1" xfId="2" applyNumberFormat="1" applyFont="1" applyBorder="1"/>
    <xf numFmtId="165" fontId="0" fillId="0" borderId="0" xfId="0" applyNumberFormat="1"/>
    <xf numFmtId="164" fontId="0" fillId="0" borderId="0" xfId="0" applyNumberFormat="1"/>
    <xf numFmtId="4" fontId="0" fillId="0" borderId="0" xfId="0" applyNumberFormat="1" applyAlignment="1">
      <alignment horizontal="left" indent="2"/>
    </xf>
    <xf numFmtId="0" fontId="5" fillId="0" borderId="0" xfId="0" applyFont="1" applyAlignment="1">
      <alignment horizontal="left" indent="2"/>
    </xf>
    <xf numFmtId="4" fontId="5" fillId="0" borderId="0" xfId="0" applyNumberFormat="1" applyFont="1"/>
    <xf numFmtId="2" fontId="0" fillId="0" borderId="0" xfId="0" applyNumberFormat="1"/>
    <xf numFmtId="4" fontId="4" fillId="3" borderId="2" xfId="3" applyFont="1" applyFill="1" applyBorder="1"/>
    <xf numFmtId="4" fontId="5" fillId="3" borderId="2" xfId="3" applyFont="1" applyFill="1" applyBorder="1"/>
    <xf numFmtId="0" fontId="10" fillId="3" borderId="2" xfId="4" applyFill="1" applyBorder="1"/>
    <xf numFmtId="4" fontId="6" fillId="3" borderId="2" xfId="3" applyFill="1" applyBorder="1"/>
    <xf numFmtId="4" fontId="3" fillId="3" borderId="2" xfId="3" applyFont="1" applyFill="1" applyBorder="1"/>
    <xf numFmtId="165" fontId="6" fillId="3" borderId="2" xfId="3" applyNumberFormat="1" applyFill="1" applyBorder="1"/>
    <xf numFmtId="4" fontId="6" fillId="0" borderId="0" xfId="3" applyFill="1"/>
    <xf numFmtId="0" fontId="0" fillId="0" borderId="0" xfId="0" applyAlignment="1">
      <alignment horizontal="left" indent="2"/>
    </xf>
    <xf numFmtId="0" fontId="13" fillId="0" borderId="0" xfId="0" applyFont="1" applyAlignment="1">
      <alignment horizontal="left" indent="2"/>
    </xf>
    <xf numFmtId="0" fontId="14" fillId="0" borderId="0" xfId="4" applyFont="1"/>
    <xf numFmtId="4" fontId="3" fillId="0" borderId="0" xfId="0" applyNumberFormat="1" applyFont="1"/>
    <xf numFmtId="0" fontId="3" fillId="0" borderId="0" xfId="0" applyFont="1" applyAlignment="1">
      <alignment horizontal="left" indent="2"/>
    </xf>
    <xf numFmtId="0" fontId="11" fillId="0" borderId="0" xfId="0" applyFont="1"/>
    <xf numFmtId="4" fontId="11" fillId="0" borderId="0" xfId="0" applyNumberFormat="1" applyFont="1"/>
    <xf numFmtId="0" fontId="7" fillId="0" borderId="0" xfId="1" applyBorder="1"/>
    <xf numFmtId="0" fontId="10" fillId="0" borderId="0" xfId="4"/>
    <xf numFmtId="4" fontId="0" fillId="0" borderId="0" xfId="0" applyNumberFormat="1"/>
    <xf numFmtId="9" fontId="10" fillId="0" borderId="0" xfId="4" applyNumberFormat="1"/>
    <xf numFmtId="10" fontId="0" fillId="0" borderId="0" xfId="5" applyNumberFormat="1" applyFont="1"/>
    <xf numFmtId="10" fontId="0" fillId="0" borderId="0" xfId="0" applyNumberFormat="1"/>
    <xf numFmtId="4" fontId="10" fillId="0" borderId="0" xfId="4" applyNumberFormat="1"/>
    <xf numFmtId="9" fontId="10" fillId="0" borderId="0" xfId="5" applyFont="1"/>
    <xf numFmtId="0" fontId="9" fillId="5" borderId="0" xfId="6"/>
    <xf numFmtId="0" fontId="2" fillId="6" borderId="0" xfId="7" applyFont="1"/>
    <xf numFmtId="0" fontId="11" fillId="6" borderId="0" xfId="7" applyFont="1"/>
    <xf numFmtId="9" fontId="0" fillId="0" borderId="0" xfId="5" applyFont="1"/>
    <xf numFmtId="9" fontId="2" fillId="0" borderId="0" xfId="4" applyNumberFormat="1" applyFont="1"/>
    <xf numFmtId="4" fontId="11" fillId="3" borderId="2" xfId="3" applyFont="1" applyFill="1" applyBorder="1"/>
    <xf numFmtId="0" fontId="2" fillId="0" borderId="0" xfId="0" applyFont="1"/>
    <xf numFmtId="0" fontId="2" fillId="0" borderId="0" xfId="4" applyFont="1"/>
    <xf numFmtId="10" fontId="2" fillId="0" borderId="0" xfId="4" applyNumberFormat="1" applyFont="1"/>
    <xf numFmtId="164" fontId="2" fillId="0" borderId="0" xfId="4" applyNumberFormat="1" applyFont="1"/>
    <xf numFmtId="17" fontId="2" fillId="0" borderId="0" xfId="4" applyNumberFormat="1" applyFont="1"/>
    <xf numFmtId="4" fontId="2" fillId="0" borderId="0" xfId="0" applyNumberFormat="1" applyFont="1"/>
    <xf numFmtId="4" fontId="2" fillId="0" borderId="0" xfId="4" applyNumberFormat="1" applyFont="1"/>
    <xf numFmtId="9" fontId="2" fillId="0" borderId="0" xfId="5" applyFont="1"/>
    <xf numFmtId="17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3" xfId="0" applyNumberFormat="1" applyBorder="1"/>
    <xf numFmtId="4" fontId="0" fillId="0" borderId="3" xfId="0" applyNumberFormat="1" applyBorder="1"/>
    <xf numFmtId="0" fontId="11" fillId="7" borderId="3" xfId="8" applyFont="1" applyFill="1" applyBorder="1"/>
    <xf numFmtId="17" fontId="11" fillId="7" borderId="3" xfId="8" applyNumberFormat="1" applyFont="1" applyFill="1" applyBorder="1"/>
    <xf numFmtId="0" fontId="15" fillId="0" borderId="0" xfId="0" applyFont="1" applyAlignment="1">
      <alignment vertical="top"/>
    </xf>
    <xf numFmtId="4" fontId="11" fillId="0" borderId="3" xfId="0" applyNumberFormat="1" applyFont="1" applyBorder="1"/>
    <xf numFmtId="4" fontId="0" fillId="0" borderId="3" xfId="0" applyNumberFormat="1" applyBorder="1" applyAlignment="1">
      <alignment horizontal="left" indent="2"/>
    </xf>
    <xf numFmtId="0" fontId="3" fillId="0" borderId="3" xfId="0" applyFont="1" applyBorder="1" applyAlignment="1">
      <alignment horizontal="left" indent="2"/>
    </xf>
    <xf numFmtId="0" fontId="5" fillId="0" borderId="3" xfId="0" applyFont="1" applyBorder="1" applyAlignment="1">
      <alignment horizontal="left" indent="2"/>
    </xf>
    <xf numFmtId="0" fontId="11" fillId="7" borderId="4" xfId="8" applyFont="1" applyFill="1" applyBorder="1"/>
    <xf numFmtId="17" fontId="11" fillId="7" borderId="5" xfId="8" applyNumberFormat="1" applyFont="1" applyFill="1" applyBorder="1"/>
    <xf numFmtId="0" fontId="11" fillId="7" borderId="6" xfId="8" applyFont="1" applyFill="1" applyBorder="1"/>
    <xf numFmtId="0" fontId="11" fillId="0" borderId="7" xfId="0" applyFont="1" applyBorder="1"/>
    <xf numFmtId="4" fontId="11" fillId="0" borderId="8" xfId="0" applyNumberFormat="1" applyFont="1" applyBorder="1"/>
    <xf numFmtId="4" fontId="0" fillId="0" borderId="8" xfId="0" applyNumberFormat="1" applyBorder="1"/>
    <xf numFmtId="0" fontId="0" fillId="0" borderId="7" xfId="0" applyBorder="1"/>
    <xf numFmtId="0" fontId="11" fillId="0" borderId="9" xfId="0" applyFont="1" applyBorder="1"/>
    <xf numFmtId="4" fontId="11" fillId="0" borderId="10" xfId="0" applyNumberFormat="1" applyFont="1" applyBorder="1"/>
    <xf numFmtId="4" fontId="11" fillId="0" borderId="11" xfId="0" applyNumberFormat="1" applyFont="1" applyBorder="1"/>
    <xf numFmtId="17" fontId="0" fillId="0" borderId="3" xfId="0" applyNumberFormat="1" applyBorder="1"/>
    <xf numFmtId="4" fontId="6" fillId="3" borderId="0" xfId="3" applyFill="1"/>
    <xf numFmtId="4" fontId="1" fillId="3" borderId="0" xfId="3" applyFont="1" applyFill="1"/>
    <xf numFmtId="4" fontId="11" fillId="3" borderId="0" xfId="3" applyFont="1" applyFill="1"/>
    <xf numFmtId="0" fontId="1" fillId="0" borderId="0" xfId="0" applyFont="1"/>
    <xf numFmtId="17" fontId="10" fillId="0" borderId="0" xfId="4" applyNumberFormat="1"/>
    <xf numFmtId="3" fontId="0" fillId="0" borderId="0" xfId="0" applyNumberFormat="1"/>
    <xf numFmtId="0" fontId="16" fillId="0" borderId="3" xfId="0" applyFont="1" applyBorder="1"/>
    <xf numFmtId="0" fontId="17" fillId="0" borderId="3" xfId="0" applyFont="1" applyBorder="1" applyAlignment="1">
      <alignment horizontal="right"/>
    </xf>
    <xf numFmtId="4" fontId="11" fillId="8" borderId="3" xfId="9" applyNumberFormat="1" applyFont="1" applyFill="1" applyBorder="1"/>
    <xf numFmtId="0" fontId="11" fillId="0" borderId="3" xfId="0" applyFont="1" applyBorder="1"/>
    <xf numFmtId="0" fontId="1" fillId="0" borderId="3" xfId="0" applyFont="1" applyBorder="1"/>
    <xf numFmtId="0" fontId="0" fillId="0" borderId="3" xfId="0" applyBorder="1"/>
    <xf numFmtId="2" fontId="0" fillId="0" borderId="3" xfId="0" applyNumberFormat="1" applyBorder="1"/>
    <xf numFmtId="0" fontId="0" fillId="0" borderId="0" xfId="0"/>
    <xf numFmtId="0" fontId="16" fillId="0" borderId="0" xfId="0" applyFont="1"/>
    <xf numFmtId="0" fontId="11" fillId="0" borderId="0" xfId="8" applyFont="1" applyFill="1"/>
    <xf numFmtId="17" fontId="11" fillId="0" borderId="0" xfId="8" applyNumberFormat="1" applyFont="1" applyFill="1"/>
    <xf numFmtId="0" fontId="13" fillId="0" borderId="0" xfId="0" applyFont="1"/>
    <xf numFmtId="0" fontId="17" fillId="0" borderId="0" xfId="0" applyFont="1" applyAlignment="1">
      <alignment horizontal="right"/>
    </xf>
    <xf numFmtId="4" fontId="18" fillId="0" borderId="0" xfId="4" applyNumberFormat="1" applyFont="1"/>
    <xf numFmtId="17" fontId="18" fillId="0" borderId="0" xfId="4" applyNumberFormat="1" applyFont="1"/>
    <xf numFmtId="4" fontId="18" fillId="0" borderId="0" xfId="0" applyNumberFormat="1" applyFont="1"/>
    <xf numFmtId="0" fontId="19" fillId="0" borderId="0" xfId="0" applyFont="1"/>
    <xf numFmtId="0" fontId="18" fillId="0" borderId="0" xfId="0" applyFont="1"/>
    <xf numFmtId="4" fontId="19" fillId="0" borderId="0" xfId="0" applyNumberFormat="1" applyFont="1"/>
    <xf numFmtId="0" fontId="20" fillId="0" borderId="0" xfId="0" applyFont="1"/>
    <xf numFmtId="164" fontId="18" fillId="0" borderId="0" xfId="0" applyNumberFormat="1" applyFont="1"/>
    <xf numFmtId="0" fontId="21" fillId="0" borderId="0" xfId="0" applyFont="1"/>
    <xf numFmtId="0" fontId="19" fillId="9" borderId="12" xfId="0" applyFont="1" applyFill="1" applyBorder="1"/>
    <xf numFmtId="0" fontId="19" fillId="0" borderId="12" xfId="0" applyFont="1" applyBorder="1"/>
    <xf numFmtId="0" fontId="18" fillId="0" borderId="12" xfId="0" applyFont="1" applyBorder="1"/>
    <xf numFmtId="4" fontId="18" fillId="0" borderId="12" xfId="0" applyNumberFormat="1" applyFont="1" applyBorder="1"/>
    <xf numFmtId="4" fontId="19" fillId="0" borderId="12" xfId="0" applyNumberFormat="1" applyFont="1" applyBorder="1"/>
    <xf numFmtId="0" fontId="19" fillId="10" borderId="12" xfId="0" applyFont="1" applyFill="1" applyBorder="1"/>
    <xf numFmtId="4" fontId="19" fillId="10" borderId="12" xfId="0" applyNumberFormat="1" applyFont="1" applyFill="1" applyBorder="1"/>
    <xf numFmtId="164" fontId="18" fillId="0" borderId="12" xfId="0" applyNumberFormat="1" applyFont="1" applyBorder="1"/>
    <xf numFmtId="164" fontId="19" fillId="0" borderId="12" xfId="0" applyNumberFormat="1" applyFont="1" applyBorder="1"/>
    <xf numFmtId="164" fontId="19" fillId="10" borderId="12" xfId="0" applyNumberFormat="1" applyFont="1" applyFill="1" applyBorder="1"/>
    <xf numFmtId="17" fontId="18" fillId="0" borderId="12" xfId="0" applyNumberFormat="1" applyFont="1" applyBorder="1"/>
    <xf numFmtId="2" fontId="18" fillId="0" borderId="0" xfId="0" applyNumberFormat="1" applyFont="1"/>
    <xf numFmtId="0" fontId="0" fillId="0" borderId="12" xfId="0" applyBorder="1"/>
    <xf numFmtId="10" fontId="22" fillId="11" borderId="0" xfId="0" applyNumberFormat="1" applyFont="1" applyFill="1"/>
    <xf numFmtId="165" fontId="22" fillId="11" borderId="0" xfId="0" applyNumberFormat="1" applyFont="1" applyFill="1"/>
    <xf numFmtId="0" fontId="23" fillId="0" borderId="0" xfId="0" applyFont="1"/>
    <xf numFmtId="165" fontId="18" fillId="0" borderId="0" xfId="0" applyNumberFormat="1" applyFont="1"/>
    <xf numFmtId="0" fontId="22" fillId="0" borderId="0" xfId="0" applyFont="1"/>
    <xf numFmtId="165" fontId="22" fillId="0" borderId="0" xfId="0" applyNumberFormat="1" applyFont="1"/>
    <xf numFmtId="10" fontId="26" fillId="0" borderId="0" xfId="0" applyNumberFormat="1" applyFont="1"/>
    <xf numFmtId="2" fontId="26" fillId="0" borderId="0" xfId="0" applyNumberFormat="1" applyFont="1"/>
    <xf numFmtId="165" fontId="26" fillId="0" borderId="0" xfId="0" applyNumberFormat="1" applyFont="1"/>
    <xf numFmtId="10" fontId="18" fillId="0" borderId="0" xfId="0" applyNumberFormat="1" applyFont="1"/>
    <xf numFmtId="10" fontId="18" fillId="0" borderId="0" xfId="0" applyNumberFormat="1" applyFont="1" applyAlignment="1">
      <alignment horizontal="center"/>
    </xf>
    <xf numFmtId="10" fontId="22" fillId="0" borderId="0" xfId="0" applyNumberFormat="1" applyFont="1" applyAlignment="1">
      <alignment horizontal="center"/>
    </xf>
    <xf numFmtId="165" fontId="18" fillId="0" borderId="0" xfId="0" applyNumberFormat="1" applyFont="1" applyAlignment="1">
      <alignment horizontal="center"/>
    </xf>
    <xf numFmtId="165" fontId="22" fillId="11" borderId="0" xfId="0" applyNumberFormat="1" applyFont="1" applyFill="1" applyAlignment="1">
      <alignment horizontal="center"/>
    </xf>
    <xf numFmtId="170" fontId="18" fillId="0" borderId="0" xfId="0" applyNumberFormat="1" applyFont="1"/>
    <xf numFmtId="0" fontId="24" fillId="13" borderId="13" xfId="0" applyFont="1" applyFill="1" applyBorder="1"/>
    <xf numFmtId="167" fontId="22" fillId="11" borderId="0" xfId="0" applyNumberFormat="1" applyFont="1" applyFill="1"/>
    <xf numFmtId="167" fontId="18" fillId="0" borderId="0" xfId="0" applyNumberFormat="1" applyFont="1"/>
    <xf numFmtId="168" fontId="22" fillId="11" borderId="0" xfId="0" applyNumberFormat="1" applyFont="1" applyFill="1"/>
    <xf numFmtId="169" fontId="22" fillId="11" borderId="0" xfId="0" applyNumberFormat="1" applyFont="1" applyFill="1"/>
    <xf numFmtId="0" fontId="25" fillId="14" borderId="13" xfId="0" applyFont="1" applyFill="1" applyBorder="1"/>
    <xf numFmtId="0" fontId="22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0" fillId="0" borderId="0" xfId="0" applyAlignment="1">
      <alignment wrapText="1"/>
    </xf>
    <xf numFmtId="0" fontId="25" fillId="14" borderId="12" xfId="0" applyFont="1" applyFill="1" applyBorder="1"/>
    <xf numFmtId="0" fontId="0" fillId="14" borderId="12" xfId="0" applyFill="1" applyBorder="1"/>
    <xf numFmtId="1" fontId="25" fillId="14" borderId="12" xfId="0" applyNumberFormat="1" applyFont="1" applyFill="1" applyBorder="1" applyAlignment="1">
      <alignment horizontal="center"/>
    </xf>
    <xf numFmtId="166" fontId="25" fillId="14" borderId="12" xfId="0" applyNumberFormat="1" applyFont="1" applyFill="1" applyBorder="1" applyAlignment="1">
      <alignment horizontal="center"/>
    </xf>
    <xf numFmtId="165" fontId="25" fillId="14" borderId="12" xfId="0" applyNumberFormat="1" applyFont="1" applyFill="1" applyBorder="1"/>
    <xf numFmtId="0" fontId="24" fillId="13" borderId="12" xfId="0" applyFont="1" applyFill="1" applyBorder="1"/>
  </cellXfs>
  <cellStyles count="10">
    <cellStyle name="20% — акцент5" xfId="3" builtinId="46"/>
    <cellStyle name="40% — акцент1" xfId="7" builtinId="31"/>
    <cellStyle name="40% — акцент3" xfId="9" builtinId="39"/>
    <cellStyle name="60% — акцент3" xfId="8" builtinId="40"/>
    <cellStyle name="Акцент1" xfId="6" builtinId="29"/>
    <cellStyle name="Акцент5" xfId="2" builtinId="45"/>
    <cellStyle name="Ввод" xfId="4"/>
    <cellStyle name="Заголовок 3" xfId="1" builtinId="18"/>
    <cellStyle name="Обычный" xfId="0" builtinId="0"/>
    <cellStyle name="Процентный" xfId="5" builtinId="5"/>
  </cellStyles>
  <dxfs count="12">
    <dxf>
      <fill>
        <patternFill patternType="solid">
          <fgColor rgb="FFFFC7CE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1"/>
  <c:style val="2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Количество</a:t>
            </a:r>
            <a:r>
              <a:rPr lang="ru-RU" baseline="0"/>
              <a:t> продаж и средний чек</a:t>
            </a:r>
            <a:endParaRPr lang="ru-RU"/>
          </a:p>
        </c:rich>
      </c:tx>
      <c:layout/>
      <c:overlay val="0"/>
      <c:spPr>
        <a:noFill/>
        <a:ln>
          <a:noFill/>
          <a:prstDash val="solid"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'Графические отчеты'!$A$2:$B$2</c:f>
              <c:strCache>
                <c:ptCount val="2"/>
                <c:pt idx="0">
                  <c:v>Количество продаж без учета сезонности</c:v>
                </c:pt>
                <c:pt idx="1">
                  <c:v>шт.</c:v>
                </c:pt>
              </c:strCache>
            </c:strRef>
          </c:tx>
          <c:spPr>
            <a:ln w="28575" cap="rnd">
              <a:solidFill>
                <a:schemeClr val="accent1"/>
              </a:solidFill>
              <a:prstDash val="sysDot"/>
              <a:round/>
            </a:ln>
          </c:spPr>
          <c:marker>
            <c:symbol val="none"/>
          </c:marker>
          <c:cat>
            <c:numRef>
              <c:f>'Графические отчеты'!$C$1:$N$1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'Графические отчеты'!$C$2:$N$2</c:f>
              <c:numCache>
                <c:formatCode>#,##0</c:formatCode>
                <c:ptCount val="12"/>
                <c:pt idx="0">
                  <c:v>50</c:v>
                </c:pt>
                <c:pt idx="1">
                  <c:v>50.5</c:v>
                </c:pt>
                <c:pt idx="2">
                  <c:v>51.005000000000003</c:v>
                </c:pt>
                <c:pt idx="3">
                  <c:v>51.515050000000002</c:v>
                </c:pt>
                <c:pt idx="4">
                  <c:v>52.030200499999999</c:v>
                </c:pt>
                <c:pt idx="5">
                  <c:v>52.550502504999997</c:v>
                </c:pt>
                <c:pt idx="6">
                  <c:v>53.076007530049999</c:v>
                </c:pt>
                <c:pt idx="7">
                  <c:v>53.606767605350498</c:v>
                </c:pt>
                <c:pt idx="8">
                  <c:v>54.142835281404004</c:v>
                </c:pt>
                <c:pt idx="9">
                  <c:v>54.684263634218041</c:v>
                </c:pt>
                <c:pt idx="10">
                  <c:v>55.231106270560218</c:v>
                </c:pt>
                <c:pt idx="11">
                  <c:v>55.783417333265824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C2-4116-A48D-94F5FDD79047}"/>
            </c:ext>
          </c:extLst>
        </c:ser>
        <c:ser>
          <c:idx val="1"/>
          <c:order val="1"/>
          <c:tx>
            <c:strRef>
              <c:f>'Графические отчеты'!$A$3:$B$3</c:f>
              <c:strCache>
                <c:ptCount val="2"/>
                <c:pt idx="0">
                  <c:v>Количество продаж с учетом сезонности</c:v>
                </c:pt>
                <c:pt idx="1">
                  <c:v>шт.</c:v>
                </c:pt>
              </c:strCache>
            </c:strRef>
          </c:tx>
          <c:spPr>
            <a:ln w="28575" cap="rnd">
              <a:solidFill>
                <a:schemeClr val="accent2"/>
              </a:solidFill>
              <a:prstDash val="solid"/>
              <a:round/>
            </a:ln>
          </c:spPr>
          <c:marker>
            <c:symbol val="none"/>
          </c:marker>
          <c:dLbls>
            <c:dLbl>
              <c:idx val="4"/>
              <c:layout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C6C2-4116-A48D-94F5FDD79047}"/>
                </c:ext>
              </c:extLst>
            </c:dLbl>
            <c:dLbl>
              <c:idx val="11"/>
              <c:layout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C6C2-4116-A48D-94F5FDD79047}"/>
                </c:ext>
              </c:extLst>
            </c:dLbl>
            <c:spPr>
              <a:noFill/>
              <a:ln>
                <a:noFill/>
                <a:prstDash val="solid"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'Графические отчеты'!$C$1:$N$1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'Графические отчеты'!$C$3:$N$3</c:f>
              <c:numCache>
                <c:formatCode>#,##0</c:formatCode>
                <c:ptCount val="12"/>
                <c:pt idx="0">
                  <c:v>50</c:v>
                </c:pt>
                <c:pt idx="1">
                  <c:v>50.5</c:v>
                </c:pt>
                <c:pt idx="2">
                  <c:v>51.005000000000003</c:v>
                </c:pt>
                <c:pt idx="3">
                  <c:v>51.515050000000002</c:v>
                </c:pt>
                <c:pt idx="4">
                  <c:v>104.060401</c:v>
                </c:pt>
                <c:pt idx="5">
                  <c:v>52.550502504999997</c:v>
                </c:pt>
                <c:pt idx="6">
                  <c:v>53.076007530049999</c:v>
                </c:pt>
                <c:pt idx="7">
                  <c:v>80.41015140802574</c:v>
                </c:pt>
                <c:pt idx="8">
                  <c:v>54.142835281404004</c:v>
                </c:pt>
                <c:pt idx="9">
                  <c:v>54.684263634218041</c:v>
                </c:pt>
                <c:pt idx="10">
                  <c:v>55.231106270560218</c:v>
                </c:pt>
                <c:pt idx="11">
                  <c:v>111.56683466653165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6C2-4116-A48D-94F5FDD790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80554912"/>
        <c:axId val="1580555328"/>
      </c:lineChart>
      <c:lineChart>
        <c:grouping val="standard"/>
        <c:varyColors val="0"/>
        <c:ser>
          <c:idx val="2"/>
          <c:order val="2"/>
          <c:tx>
            <c:strRef>
              <c:f>'Графические отчеты'!$A$4:$B$4</c:f>
              <c:strCache>
                <c:ptCount val="2"/>
                <c:pt idx="0">
                  <c:v>Средний чек с учетом НДС</c:v>
                </c:pt>
                <c:pt idx="1">
                  <c:v>руб.</c:v>
                </c:pt>
              </c:strCache>
            </c:strRef>
          </c:tx>
          <c:spPr>
            <a:ln w="28575" cap="rnd">
              <a:solidFill>
                <a:schemeClr val="accent3"/>
              </a:solidFill>
              <a:prstDash val="solid"/>
              <a:round/>
            </a:ln>
          </c:spPr>
          <c:marker>
            <c:symbol val="none"/>
          </c:marker>
          <c:cat>
            <c:numRef>
              <c:f>'Графические отчеты'!$C$1:$N$1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'Графические отчеты'!$C$4:$N$4</c:f>
              <c:numCache>
                <c:formatCode>#,##0</c:formatCode>
                <c:ptCount val="12"/>
                <c:pt idx="0">
                  <c:v>100</c:v>
                </c:pt>
                <c:pt idx="1">
                  <c:v>100.3</c:v>
                </c:pt>
                <c:pt idx="2">
                  <c:v>100.6009</c:v>
                </c:pt>
                <c:pt idx="3">
                  <c:v>100.90270269999999</c:v>
                </c:pt>
                <c:pt idx="4">
                  <c:v>101.2054108081</c:v>
                </c:pt>
                <c:pt idx="5">
                  <c:v>101.5090270405243</c:v>
                </c:pt>
                <c:pt idx="6">
                  <c:v>101.81355412164588</c:v>
                </c:pt>
                <c:pt idx="7">
                  <c:v>102.11899478401082</c:v>
                </c:pt>
                <c:pt idx="8">
                  <c:v>102.42535176836286</c:v>
                </c:pt>
                <c:pt idx="9">
                  <c:v>102.73262782366795</c:v>
                </c:pt>
                <c:pt idx="10">
                  <c:v>103.04082570713896</c:v>
                </c:pt>
                <c:pt idx="11">
                  <c:v>103.34994818426038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6C2-4116-A48D-94F5FDD790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2697840"/>
        <c:axId val="1541662480"/>
      </c:lineChart>
      <c:dateAx>
        <c:axId val="158055491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580555328"/>
        <c:crosses val="autoZero"/>
        <c:auto val="1"/>
        <c:lblOffset val="100"/>
        <c:baseTimeUnit val="months"/>
      </c:dateAx>
      <c:valAx>
        <c:axId val="1580555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/>
                  <a:t>Продажи,</a:t>
                </a:r>
                <a:r>
                  <a:rPr lang="ru-RU" baseline="0"/>
                  <a:t> шт.</a:t>
                </a:r>
                <a:endParaRPr lang="ru-RU"/>
              </a:p>
            </c:rich>
          </c:tx>
          <c:layout/>
          <c:overlay val="0"/>
          <c:spPr>
            <a:noFill/>
            <a:ln>
              <a:noFill/>
              <a:prstDash val="solid"/>
            </a:ln>
          </c:sp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  <a:prstDash val="solid"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580554912"/>
        <c:crosses val="autoZero"/>
        <c:crossBetween val="between"/>
      </c:valAx>
      <c:dateAx>
        <c:axId val="1242697840"/>
        <c:scaling>
          <c:orientation val="minMax"/>
        </c:scaling>
        <c:delete val="1"/>
        <c:axPos val="t"/>
        <c:numFmt formatCode="mmm\-yy" sourceLinked="1"/>
        <c:majorTickMark val="out"/>
        <c:minorTickMark val="none"/>
        <c:tickLblPos val="nextTo"/>
        <c:crossAx val="1541662480"/>
        <c:crosses val="max"/>
        <c:auto val="1"/>
        <c:lblOffset val="100"/>
        <c:baseTimeUnit val="months"/>
      </c:dateAx>
      <c:valAx>
        <c:axId val="1541662480"/>
        <c:scaling>
          <c:orientation val="minMax"/>
          <c:min val="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/>
                  <a:t>Средний чек, руб.</a:t>
                </a:r>
              </a:p>
            </c:rich>
          </c:tx>
          <c:layout/>
          <c:overlay val="0"/>
          <c:spPr>
            <a:noFill/>
            <a:ln>
              <a:noFill/>
              <a:prstDash val="solid"/>
            </a:ln>
          </c:sp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  <a:prstDash val="solid"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242697840"/>
        <c:crosses val="max"/>
        <c:crossBetween val="between"/>
      </c:valAx>
    </c:plotArea>
    <c:legend>
      <c:legendPos val="b"/>
      <c:legendEntry>
        <c:idx val="0"/>
        <c:delete val="1"/>
      </c:legendEntry>
      <c:layout/>
      <c:overlay val="0"/>
      <c:spPr>
        <a:noFill/>
        <a:ln>
          <a:noFill/>
          <a:prstDash val="solid"/>
        </a:ln>
      </c:spPr>
      <c: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1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1"/>
  <c:style val="2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Выручка,</a:t>
            </a:r>
            <a:r>
              <a:rPr lang="ru-RU" baseline="0"/>
              <a:t> валовая и чистая прибыль</a:t>
            </a:r>
            <a:endParaRPr lang="ru-RU"/>
          </a:p>
        </c:rich>
      </c:tx>
      <c:layout/>
      <c:overlay val="0"/>
      <c:spPr>
        <a:noFill/>
        <a:ln>
          <a:noFill/>
          <a:prstDash val="solid"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'Графические отчеты'!$A$21:$B$21</c:f>
              <c:strCache>
                <c:ptCount val="2"/>
                <c:pt idx="0">
                  <c:v>Выручка</c:v>
                </c:pt>
              </c:strCache>
            </c:strRef>
          </c:tx>
          <c:spPr>
            <a:ln w="28575" cap="rnd">
              <a:solidFill>
                <a:schemeClr val="accent1"/>
              </a:solidFill>
              <a:prstDash val="solid"/>
              <a:round/>
            </a:ln>
          </c:spPr>
          <c:marker>
            <c:symbol val="none"/>
          </c:marker>
          <c:dLbls>
            <c:spPr>
              <a:noFill/>
              <a:ln>
                <a:noFill/>
                <a:prstDash val="solid"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strike="noStrike" kern="1200" baseline="0">
                    <a:solidFill>
                      <a:schemeClr val="accen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'Графические отчеты'!$C$20:$N$20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'Графические отчеты'!$C$21:$N$21</c:f>
              <c:numCache>
                <c:formatCode>#,##0</c:formatCode>
                <c:ptCount val="12"/>
                <c:pt idx="0">
                  <c:v>208.33333333333337</c:v>
                </c:pt>
                <c:pt idx="1">
                  <c:v>211.04791666666665</c:v>
                </c:pt>
                <c:pt idx="2">
                  <c:v>213.79787102083338</c:v>
                </c:pt>
                <c:pt idx="3">
                  <c:v>216.58365728023477</c:v>
                </c:pt>
                <c:pt idx="4">
                  <c:v>438.81148466919262</c:v>
                </c:pt>
                <c:pt idx="5">
                  <c:v>222.26459915721603</c:v>
                </c:pt>
                <c:pt idx="6">
                  <c:v>225.16070688423457</c:v>
                </c:pt>
                <c:pt idx="7">
                  <c:v>342.14182634240427</c:v>
                </c:pt>
                <c:pt idx="8">
                  <c:v>231.06662289309722</c:v>
                </c:pt>
                <c:pt idx="9">
                  <c:v>234.07742098939426</c:v>
                </c:pt>
                <c:pt idx="10">
                  <c:v>237.12744978488604</c:v>
                </c:pt>
                <c:pt idx="11">
                  <c:v>480.43444091116635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42C-4D89-BD9B-2A775AF2733F}"/>
            </c:ext>
          </c:extLst>
        </c:ser>
        <c:ser>
          <c:idx val="1"/>
          <c:order val="1"/>
          <c:tx>
            <c:strRef>
              <c:f>'Графические отчеты'!$A$22:$B$22</c:f>
              <c:strCache>
                <c:ptCount val="2"/>
                <c:pt idx="0">
                  <c:v>Валовая прибыль</c:v>
                </c:pt>
              </c:strCache>
            </c:strRef>
          </c:tx>
          <c:spPr>
            <a:ln w="28575" cap="rnd">
              <a:solidFill>
                <a:schemeClr val="accent2"/>
              </a:solidFill>
              <a:prstDash val="solid"/>
              <a:round/>
            </a:ln>
          </c:spPr>
          <c:marker>
            <c:symbol val="none"/>
          </c:marker>
          <c:dLbls>
            <c:spPr>
              <a:noFill/>
              <a:ln>
                <a:noFill/>
                <a:prstDash val="solid"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'Графические отчеты'!$C$20:$N$20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'Графические отчеты'!$C$22:$N$22</c:f>
              <c:numCache>
                <c:formatCode>#,##0</c:formatCode>
                <c:ptCount val="12"/>
                <c:pt idx="0">
                  <c:v>138.94270833333337</c:v>
                </c:pt>
                <c:pt idx="1">
                  <c:v>140.96338541666665</c:v>
                </c:pt>
                <c:pt idx="2">
                  <c:v>143.01249445833338</c:v>
                </c:pt>
                <c:pt idx="3">
                  <c:v>145.09042695210979</c:v>
                </c:pt>
                <c:pt idx="4">
                  <c:v>294.39515940638012</c:v>
                </c:pt>
                <c:pt idx="5">
                  <c:v>149.33435489949571</c:v>
                </c:pt>
                <c:pt idx="6">
                  <c:v>151.50116018393706</c:v>
                </c:pt>
                <c:pt idx="7">
                  <c:v>230.54761309145357</c:v>
                </c:pt>
                <c:pt idx="8">
                  <c:v>155.92651930412376</c:v>
                </c:pt>
                <c:pt idx="9">
                  <c:v>158.18591636453101</c:v>
                </c:pt>
                <c:pt idx="10">
                  <c:v>160.47703011377419</c:v>
                </c:pt>
                <c:pt idx="11">
                  <c:v>325.60059317552043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42C-4D89-BD9B-2A775AF2733F}"/>
            </c:ext>
          </c:extLst>
        </c:ser>
        <c:ser>
          <c:idx val="2"/>
          <c:order val="2"/>
          <c:tx>
            <c:strRef>
              <c:f>'Графические отчеты'!$A$23:$B$23</c:f>
              <c:strCache>
                <c:ptCount val="2"/>
                <c:pt idx="0">
                  <c:v>Операционная прибыль</c:v>
                </c:pt>
              </c:strCache>
            </c:strRef>
          </c:tx>
          <c:spPr>
            <a:ln w="28575" cap="rnd">
              <a:solidFill>
                <a:schemeClr val="accent3"/>
              </a:solidFill>
              <a:prstDash val="solid"/>
              <a:round/>
            </a:ln>
          </c:spPr>
          <c:marker>
            <c:symbol val="none"/>
          </c:marker>
          <c:cat>
            <c:numRef>
              <c:f>'Графические отчеты'!$C$20:$N$20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'Графические отчеты'!$C$23:$N$23</c:f>
              <c:numCache>
                <c:formatCode>#,##0</c:formatCode>
                <c:ptCount val="12"/>
                <c:pt idx="0">
                  <c:v>21.684087643678197</c:v>
                </c:pt>
                <c:pt idx="1">
                  <c:v>23.704764727011479</c:v>
                </c:pt>
                <c:pt idx="2">
                  <c:v>25.753873768678204</c:v>
                </c:pt>
                <c:pt idx="3">
                  <c:v>27.83180626245462</c:v>
                </c:pt>
                <c:pt idx="4">
                  <c:v>177.13653871672494</c:v>
                </c:pt>
                <c:pt idx="5">
                  <c:v>32.075734209840533</c:v>
                </c:pt>
                <c:pt idx="6">
                  <c:v>34.242539494281885</c:v>
                </c:pt>
                <c:pt idx="7">
                  <c:v>113.2889924017984</c:v>
                </c:pt>
                <c:pt idx="8">
                  <c:v>38.667898614468584</c:v>
                </c:pt>
                <c:pt idx="9">
                  <c:v>40.927295674875836</c:v>
                </c:pt>
                <c:pt idx="10">
                  <c:v>43.218409424119017</c:v>
                </c:pt>
                <c:pt idx="11">
                  <c:v>208.34197248586526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42C-4D89-BD9B-2A775AF2733F}"/>
            </c:ext>
          </c:extLst>
        </c:ser>
        <c:ser>
          <c:idx val="3"/>
          <c:order val="3"/>
          <c:tx>
            <c:strRef>
              <c:f>'Графические отчеты'!$A$24:$B$24</c:f>
              <c:strCache>
                <c:ptCount val="2"/>
                <c:pt idx="0">
                  <c:v>Чистая прибыль</c:v>
                </c:pt>
              </c:strCache>
            </c:strRef>
          </c:tx>
          <c:spPr>
            <a:ln w="28575" cap="rnd">
              <a:solidFill>
                <a:schemeClr val="accent4"/>
              </a:solidFill>
              <a:prstDash val="solid"/>
              <a:round/>
            </a:ln>
          </c:spPr>
          <c:marker>
            <c:symbol val="none"/>
          </c:marker>
          <c:dLbls>
            <c:dLbl>
              <c:idx val="7"/>
              <c:layout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E42C-4D89-BD9B-2A775AF2733F}"/>
                </c:ext>
              </c:extLst>
            </c:dLbl>
            <c:dLbl>
              <c:idx val="11"/>
              <c:layout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E42C-4D89-BD9B-2A775AF2733F}"/>
                </c:ext>
              </c:extLst>
            </c:dLbl>
            <c:spPr>
              <a:noFill/>
              <a:ln>
                <a:noFill/>
                <a:prstDash val="solid"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strike="noStrike" kern="1200" baseline="0">
                    <a:solidFill>
                      <a:schemeClr val="accent4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'Графические отчеты'!$C$20:$N$20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'Графические отчеты'!$C$24:$N$24</c:f>
              <c:numCache>
                <c:formatCode>#,##0</c:formatCode>
                <c:ptCount val="12"/>
                <c:pt idx="0">
                  <c:v>6.6840876436781969</c:v>
                </c:pt>
                <c:pt idx="1">
                  <c:v>8.7047647270114794</c:v>
                </c:pt>
                <c:pt idx="2">
                  <c:v>10.753873768678204</c:v>
                </c:pt>
                <c:pt idx="3">
                  <c:v>12.83180626245462</c:v>
                </c:pt>
                <c:pt idx="4">
                  <c:v>151.91432449301544</c:v>
                </c:pt>
                <c:pt idx="5">
                  <c:v>13.660587367872427</c:v>
                </c:pt>
                <c:pt idx="6">
                  <c:v>15.394031595425508</c:v>
                </c:pt>
                <c:pt idx="7">
                  <c:v>78.631193921438722</c:v>
                </c:pt>
                <c:pt idx="8">
                  <c:v>18.934318891574868</c:v>
                </c:pt>
                <c:pt idx="9">
                  <c:v>20.741836539900667</c:v>
                </c:pt>
                <c:pt idx="10">
                  <c:v>22.574727539295214</c:v>
                </c:pt>
                <c:pt idx="11">
                  <c:v>154.67357798869222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42C-4D89-BD9B-2A775AF273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33410832"/>
        <c:axId val="1933409168"/>
      </c:lineChart>
      <c:dateAx>
        <c:axId val="193341083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933409168"/>
        <c:crosses val="autoZero"/>
        <c:auto val="1"/>
        <c:lblOffset val="100"/>
        <c:baseTimeUnit val="months"/>
      </c:dateAx>
      <c:valAx>
        <c:axId val="1933409168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  <a:prstDash val="solid"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933410832"/>
        <c:crosses val="autoZero"/>
        <c:crossBetween val="between"/>
      </c:valAx>
    </c:plotArea>
    <c:legend>
      <c:legendPos val="b"/>
      <c:layout/>
      <c:overlay val="0"/>
      <c:spPr>
        <a:noFill/>
        <a:ln>
          <a:noFill/>
          <a:prstDash val="solid"/>
        </a:ln>
      </c:spPr>
      <c: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1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1"/>
  <c:style val="2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Структура активов на декабрь 2026 г. (тыс. руб.)</a:t>
            </a:r>
          </a:p>
        </c:rich>
      </c:tx>
      <c:layout/>
      <c:overlay val="0"/>
      <c:spPr>
        <a:noFill/>
        <a:ln>
          <a:noFill/>
          <a:prstDash val="solid"/>
        </a:ln>
      </c:spPr>
    </c:title>
    <c:autoTitleDeleted val="0"/>
    <c:plotArea>
      <c:layout/>
      <c:pieChart>
        <c:varyColors val="1"/>
        <c:ser>
          <c:idx val="0"/>
          <c:order val="0"/>
          <c:tx>
            <c:strRef>
              <c:f>'Графические отчеты'!$B$40</c:f>
              <c:strCache>
                <c:ptCount val="1"/>
                <c:pt idx="0">
                  <c:v>дек.26</c:v>
                </c:pt>
              </c:strCache>
            </c:strRef>
          </c:tx>
          <c:spPr>
            <a:ln>
              <a:prstDash val="solid"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476-45D5-8962-CD0DD110A64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476-45D5-8962-CD0DD110A64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476-45D5-8962-CD0DD110A64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476-45D5-8962-CD0DD110A644}"/>
              </c:ext>
            </c:extLst>
          </c:dPt>
          <c:dLbls>
            <c:dLbl>
              <c:idx val="3"/>
              <c:layout/>
              <c:dLblPos val="outEnd"/>
              <c:showLegendKey val="1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E476-45D5-8962-CD0DD110A644}"/>
                </c:ext>
              </c:extLst>
            </c:dLbl>
            <c:spPr>
              <a:noFill/>
              <a:ln>
                <a:noFill/>
                <a:prstDash val="solid"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1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strRef>
              <c:f>'Графические отчеты'!$A$41:$A$44</c:f>
              <c:strCache>
                <c:ptCount val="4"/>
                <c:pt idx="0">
                  <c:v>Основные средства</c:v>
                </c:pt>
                <c:pt idx="1">
                  <c:v>Запасы</c:v>
                </c:pt>
                <c:pt idx="2">
                  <c:v>Дебиторская задолженность</c:v>
                </c:pt>
                <c:pt idx="3">
                  <c:v>Денежные средства</c:v>
                </c:pt>
              </c:strCache>
            </c:strRef>
          </c:cat>
          <c:val>
            <c:numRef>
              <c:f>'Графические отчеты'!$B$41:$B$44</c:f>
              <c:numCache>
                <c:formatCode>#,##0.00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1365.4991307390378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476-45D5-8962-CD0DD110A6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b"/>
      <c:layout/>
      <c:overlay val="0"/>
      <c:spPr>
        <a:noFill/>
        <a:ln>
          <a:noFill/>
          <a:prstDash val="solid"/>
        </a:ln>
      </c:spPr>
      <c: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1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1"/>
  <c:style val="2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Структура пассивов на</a:t>
            </a:r>
            <a:r>
              <a:rPr lang="ru-RU" baseline="0"/>
              <a:t> декабрь 2026 г. (тыс. руб.)</a:t>
            </a:r>
            <a:endParaRPr lang="ru-RU"/>
          </a:p>
        </c:rich>
      </c:tx>
      <c:layout/>
      <c:overlay val="0"/>
      <c:spPr>
        <a:noFill/>
        <a:ln>
          <a:noFill/>
          <a:prstDash val="solid"/>
        </a:ln>
      </c:spPr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86D-4BAE-AD4C-8CBF10BD2B6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86D-4BAE-AD4C-8CBF10BD2B6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86D-4BAE-AD4C-8CBF10BD2B6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86D-4BAE-AD4C-8CBF10BD2B6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86D-4BAE-AD4C-8CBF10BD2B60}"/>
              </c:ext>
            </c:extLst>
          </c:dPt>
          <c:dLbls>
            <c:dLbl>
              <c:idx val="1"/>
              <c:layout/>
              <c:spPr>
                <a:noFill/>
                <a:ln>
                  <a:noFill/>
                  <a:prstDash val="solid"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ru-RU"/>
                </a:p>
              </c:txPr>
              <c:dLblPos val="bestFit"/>
              <c:showLegendKey val="1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</c:ext>
                <c:ext xmlns:c16="http://schemas.microsoft.com/office/drawing/2014/chart" uri="{C3380CC4-5D6E-409C-BE32-E72D297353CC}">
                  <c16:uniqueId val="{00000003-E86D-4BAE-AD4C-8CBF10BD2B60}"/>
                </c:ext>
              </c:extLst>
            </c:dLbl>
            <c:spPr>
              <a:noFill/>
              <a:ln>
                <a:noFill/>
                <a:prstDash val="solid"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1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'Графические отчеты'!$A$53:$A$57</c:f>
              <c:strCache>
                <c:ptCount val="5"/>
                <c:pt idx="0">
                  <c:v>Уставный капитал</c:v>
                </c:pt>
                <c:pt idx="1">
                  <c:v>Нераспределенная прибыль</c:v>
                </c:pt>
                <c:pt idx="2">
                  <c:v>Заемные средства</c:v>
                </c:pt>
                <c:pt idx="3">
                  <c:v>Заемные средства</c:v>
                </c:pt>
                <c:pt idx="4">
                  <c:v>Кредиторская задолженность</c:v>
                </c:pt>
              </c:strCache>
            </c:strRef>
          </c:cat>
          <c:val>
            <c:numRef>
              <c:f>'Графические отчеты'!$B$53:$B$57</c:f>
              <c:numCache>
                <c:formatCode>0.00</c:formatCode>
                <c:ptCount val="5"/>
                <c:pt idx="0">
                  <c:v>800</c:v>
                </c:pt>
                <c:pt idx="1">
                  <c:v>365.49913073903758</c:v>
                </c:pt>
                <c:pt idx="2">
                  <c:v>0</c:v>
                </c:pt>
                <c:pt idx="3">
                  <c:v>0</c:v>
                </c:pt>
                <c:pt idx="4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86D-4BAE-AD4C-8CBF10BD2B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b"/>
      <c:layout/>
      <c:overlay val="0"/>
      <c:spPr>
        <a:noFill/>
        <a:ln>
          <a:noFill/>
          <a:prstDash val="solid"/>
        </a:ln>
      </c:spPr>
      <c: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1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1"/>
  <c:style val="2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 sz="1400" b="0" i="0" strike="noStrike" baseline="0"/>
              <a:t>Остаток денежных средств на счетах (год 1)</a:t>
            </a:r>
            <a:endParaRPr lang="ru-RU"/>
          </a:p>
        </c:rich>
      </c:tx>
      <c:layout/>
      <c:overlay val="0"/>
      <c:spPr>
        <a:noFill/>
        <a:ln>
          <a:noFill/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0.1026681837017499"/>
          <c:y val="0.13184252147054171"/>
          <c:w val="0.87303908347709869"/>
          <c:h val="0.79132167942139442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prstDash val="solid"/>
              <a:round/>
            </a:ln>
          </c:spPr>
          <c:marker>
            <c:symbol val="none"/>
          </c:marker>
          <c:dLbls>
            <c:spPr>
              <a:noFill/>
              <a:ln>
                <a:noFill/>
                <a:prstDash val="solid"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'Графические отчеты'!$C$60:$N$60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'Графические отчеты'!$C$61:$N$61</c:f>
              <c:numCache>
                <c:formatCode>#,##0.00</c:formatCode>
                <c:ptCount val="12"/>
                <c:pt idx="0">
                  <c:v>891.68408764367814</c:v>
                </c:pt>
                <c:pt idx="1">
                  <c:v>915.38885237068962</c:v>
                </c:pt>
                <c:pt idx="2">
                  <c:v>941.14272613936782</c:v>
                </c:pt>
                <c:pt idx="3">
                  <c:v>968.97453240182244</c:v>
                </c:pt>
                <c:pt idx="4">
                  <c:v>1135.8888568948378</c:v>
                </c:pt>
                <c:pt idx="5">
                  <c:v>1164.5494442627103</c:v>
                </c:pt>
                <c:pt idx="6">
                  <c:v>994.9434758581358</c:v>
                </c:pt>
                <c:pt idx="7">
                  <c:v>1088.5746697795746</c:v>
                </c:pt>
                <c:pt idx="8">
                  <c:v>1122.5089886711494</c:v>
                </c:pt>
                <c:pt idx="9">
                  <c:v>1158.2508252110501</c:v>
                </c:pt>
                <c:pt idx="10">
                  <c:v>1195.8255527503454</c:v>
                </c:pt>
                <c:pt idx="11">
                  <c:v>1365.4991307390376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14-401E-BAD3-F0F2EE94CE1E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82287112"/>
        <c:axId val="492078216"/>
      </c:lineChart>
      <c:dateAx>
        <c:axId val="48228711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92078216"/>
        <c:crosses val="autoZero"/>
        <c:auto val="1"/>
        <c:lblOffset val="100"/>
        <c:baseTimeUnit val="months"/>
      </c:dateAx>
      <c:valAx>
        <c:axId val="4920782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  <a:prstDash val="solid"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82287112"/>
        <c:crosses val="autoZero"/>
        <c:crossBetween val="between"/>
      </c:valAx>
    </c:plotArea>
    <c:plotVisOnly val="1"/>
    <c:dispBlanksAs val="gap"/>
    <c:showDLblsOverMax val="1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9525</xdr:colOff>
      <xdr:row>0</xdr:row>
      <xdr:rowOff>0</xdr:rowOff>
    </xdr:from>
    <xdr:to>
      <xdr:col>27</xdr:col>
      <xdr:colOff>28575</xdr:colOff>
      <xdr:row>17</xdr:row>
      <xdr:rowOff>161925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38100</xdr:colOff>
      <xdr:row>19</xdr:row>
      <xdr:rowOff>4761</xdr:rowOff>
    </xdr:from>
    <xdr:to>
      <xdr:col>27</xdr:col>
      <xdr:colOff>85724</xdr:colOff>
      <xdr:row>37</xdr:row>
      <xdr:rowOff>161925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9524</xdr:colOff>
      <xdr:row>39</xdr:row>
      <xdr:rowOff>42861</xdr:rowOff>
    </xdr:from>
    <xdr:to>
      <xdr:col>25</xdr:col>
      <xdr:colOff>571500</xdr:colOff>
      <xdr:row>50</xdr:row>
      <xdr:rowOff>123824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609599</xdr:colOff>
      <xdr:row>51</xdr:row>
      <xdr:rowOff>23811</xdr:rowOff>
    </xdr:from>
    <xdr:to>
      <xdr:col>25</xdr:col>
      <xdr:colOff>581024</xdr:colOff>
      <xdr:row>65</xdr:row>
      <xdr:rowOff>161924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16</xdr:col>
      <xdr:colOff>596900</xdr:colOff>
      <xdr:row>85</xdr:row>
      <xdr:rowOff>15874</xdr:rowOff>
    </xdr:from>
    <xdr:to>
      <xdr:col>26</xdr:col>
      <xdr:colOff>260350</xdr:colOff>
      <xdr:row>105</xdr:row>
      <xdr:rowOff>6350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pane ySplit="3" topLeftCell="A50" activePane="bottomLeft" state="frozen"/>
      <selection pane="bottomLeft" activeCell="J49" sqref="J49"/>
    </sheetView>
  </sheetViews>
  <sheetFormatPr defaultRowHeight="14.5" x14ac:dyDescent="0.35"/>
  <cols>
    <col min="1" max="1" width="63.81640625" style="86" bestFit="1" customWidth="1"/>
    <col min="2" max="2" width="22.81640625" style="86" customWidth="1"/>
    <col min="3" max="3" width="9.7265625" style="86" bestFit="1" customWidth="1"/>
    <col min="9" max="10" width="11.453125" style="86" bestFit="1" customWidth="1"/>
  </cols>
  <sheetData>
    <row r="1" spans="1:10" x14ac:dyDescent="0.35">
      <c r="A1" t="s">
        <v>0</v>
      </c>
      <c r="C1" s="29">
        <v>1</v>
      </c>
    </row>
    <row r="3" spans="1:10" x14ac:dyDescent="0.35">
      <c r="A3" s="36" t="s">
        <v>1</v>
      </c>
      <c r="B3" s="36" t="s">
        <v>2</v>
      </c>
      <c r="C3" s="36" t="s">
        <v>3</v>
      </c>
      <c r="I3" s="36" t="s">
        <v>4</v>
      </c>
      <c r="J3" s="36" t="s">
        <v>5</v>
      </c>
    </row>
    <row r="4" spans="1:10" x14ac:dyDescent="0.35">
      <c r="A4" s="38" t="s">
        <v>6</v>
      </c>
      <c r="B4" s="37"/>
      <c r="C4" s="37"/>
      <c r="I4" s="37"/>
      <c r="J4" s="37"/>
    </row>
    <row r="5" spans="1:10" x14ac:dyDescent="0.35">
      <c r="A5" t="s">
        <v>7</v>
      </c>
      <c r="B5" t="s">
        <v>8</v>
      </c>
      <c r="C5" s="42">
        <f ca="1">OFFSET(H5,0,$C$1)</f>
        <v>50</v>
      </c>
      <c r="I5" s="29">
        <v>50</v>
      </c>
      <c r="J5" s="29">
        <v>50</v>
      </c>
    </row>
    <row r="6" spans="1:10" x14ac:dyDescent="0.35">
      <c r="A6" t="s">
        <v>9</v>
      </c>
      <c r="B6" t="s">
        <v>10</v>
      </c>
      <c r="C6" s="40">
        <f ca="1">OFFSET(H6,0,$C$1)</f>
        <v>0.01</v>
      </c>
      <c r="I6" s="4">
        <v>0.01</v>
      </c>
      <c r="J6" s="3">
        <v>1.6040339771104001E-2</v>
      </c>
    </row>
    <row r="7" spans="1:10" x14ac:dyDescent="0.35">
      <c r="A7" t="s">
        <v>11</v>
      </c>
      <c r="B7" t="s">
        <v>10</v>
      </c>
      <c r="C7" s="40">
        <f ca="1">OFFSET(H7,0,$C$1)</f>
        <v>0.05</v>
      </c>
      <c r="I7" s="4">
        <v>0.05</v>
      </c>
      <c r="J7" s="4">
        <v>0.05</v>
      </c>
    </row>
    <row r="8" spans="1:10" x14ac:dyDescent="0.35">
      <c r="C8" s="42"/>
      <c r="I8" s="9"/>
      <c r="J8" s="9"/>
    </row>
    <row r="9" spans="1:10" x14ac:dyDescent="0.35">
      <c r="A9" s="26" t="s">
        <v>12</v>
      </c>
      <c r="C9" s="42"/>
      <c r="I9" s="9"/>
      <c r="J9" s="9"/>
    </row>
    <row r="10" spans="1:10" x14ac:dyDescent="0.35">
      <c r="A10">
        <v>1</v>
      </c>
      <c r="C10" s="40">
        <f t="shared" ref="C10:C21" ca="1" si="0">OFFSET(H10,0,$C$1)</f>
        <v>1</v>
      </c>
      <c r="I10" s="4">
        <v>1</v>
      </c>
      <c r="J10" s="4">
        <v>1</v>
      </c>
    </row>
    <row r="11" spans="1:10" x14ac:dyDescent="0.35">
      <c r="A11">
        <v>2</v>
      </c>
      <c r="C11" s="40">
        <f t="shared" ca="1" si="0"/>
        <v>1</v>
      </c>
      <c r="I11" s="4">
        <v>1</v>
      </c>
      <c r="J11" s="4">
        <v>1</v>
      </c>
    </row>
    <row r="12" spans="1:10" x14ac:dyDescent="0.35">
      <c r="A12">
        <v>3</v>
      </c>
      <c r="C12" s="40">
        <f t="shared" ca="1" si="0"/>
        <v>1</v>
      </c>
      <c r="I12" s="4">
        <v>1</v>
      </c>
      <c r="J12" s="4">
        <v>1</v>
      </c>
    </row>
    <row r="13" spans="1:10" x14ac:dyDescent="0.35">
      <c r="A13">
        <v>4</v>
      </c>
      <c r="C13" s="40">
        <f t="shared" ca="1" si="0"/>
        <v>1</v>
      </c>
      <c r="I13" s="4">
        <v>1</v>
      </c>
      <c r="J13" s="4">
        <v>1</v>
      </c>
    </row>
    <row r="14" spans="1:10" x14ac:dyDescent="0.35">
      <c r="A14">
        <v>5</v>
      </c>
      <c r="C14" s="40">
        <f t="shared" ca="1" si="0"/>
        <v>2</v>
      </c>
      <c r="I14" s="4">
        <v>2</v>
      </c>
      <c r="J14" s="4">
        <v>2</v>
      </c>
    </row>
    <row r="15" spans="1:10" x14ac:dyDescent="0.35">
      <c r="A15">
        <v>6</v>
      </c>
      <c r="C15" s="40">
        <f t="shared" ca="1" si="0"/>
        <v>1</v>
      </c>
      <c r="I15" s="4">
        <v>1</v>
      </c>
      <c r="J15" s="4">
        <v>1</v>
      </c>
    </row>
    <row r="16" spans="1:10" x14ac:dyDescent="0.35">
      <c r="A16">
        <v>7</v>
      </c>
      <c r="C16" s="40">
        <f t="shared" ca="1" si="0"/>
        <v>1</v>
      </c>
      <c r="I16" s="4">
        <v>1</v>
      </c>
      <c r="J16" s="4">
        <v>1</v>
      </c>
    </row>
    <row r="17" spans="1:10" x14ac:dyDescent="0.35">
      <c r="A17">
        <v>8</v>
      </c>
      <c r="C17" s="40">
        <f t="shared" ca="1" si="0"/>
        <v>1.5</v>
      </c>
      <c r="I17" s="4">
        <v>1.5</v>
      </c>
      <c r="J17" s="4">
        <v>1.5</v>
      </c>
    </row>
    <row r="18" spans="1:10" x14ac:dyDescent="0.35">
      <c r="A18">
        <v>9</v>
      </c>
      <c r="C18" s="40">
        <f t="shared" ca="1" si="0"/>
        <v>1</v>
      </c>
      <c r="I18" s="4">
        <v>1</v>
      </c>
      <c r="J18" s="4">
        <v>1</v>
      </c>
    </row>
    <row r="19" spans="1:10" x14ac:dyDescent="0.35">
      <c r="A19">
        <v>10</v>
      </c>
      <c r="C19" s="40">
        <f t="shared" ca="1" si="0"/>
        <v>1</v>
      </c>
      <c r="I19" s="4">
        <v>1</v>
      </c>
      <c r="J19" s="4">
        <v>1</v>
      </c>
    </row>
    <row r="20" spans="1:10" x14ac:dyDescent="0.35">
      <c r="A20">
        <v>11</v>
      </c>
      <c r="C20" s="40">
        <f t="shared" ca="1" si="0"/>
        <v>1</v>
      </c>
      <c r="I20" s="4">
        <v>1</v>
      </c>
      <c r="J20" s="4">
        <v>1</v>
      </c>
    </row>
    <row r="21" spans="1:10" x14ac:dyDescent="0.35">
      <c r="A21">
        <v>12</v>
      </c>
      <c r="C21" s="40">
        <f t="shared" ca="1" si="0"/>
        <v>2</v>
      </c>
      <c r="I21" s="4">
        <v>2</v>
      </c>
      <c r="J21" s="4">
        <v>2</v>
      </c>
    </row>
    <row r="22" spans="1:10" x14ac:dyDescent="0.35">
      <c r="C22" s="42"/>
    </row>
    <row r="23" spans="1:10" x14ac:dyDescent="0.35">
      <c r="A23" t="s">
        <v>13</v>
      </c>
      <c r="B23" t="s">
        <v>14</v>
      </c>
      <c r="C23" s="43">
        <f ca="1">OFFSET(H23,0,$C$1)</f>
        <v>100</v>
      </c>
      <c r="I23" s="29">
        <v>100</v>
      </c>
      <c r="J23" s="29">
        <v>100</v>
      </c>
    </row>
    <row r="24" spans="1:10" x14ac:dyDescent="0.35">
      <c r="A24" t="s">
        <v>15</v>
      </c>
      <c r="B24" t="s">
        <v>10</v>
      </c>
      <c r="C24" s="44">
        <f ca="1">OFFSET(H24,0,$C$1)</f>
        <v>3.0000000000000001E-3</v>
      </c>
      <c r="I24" s="3">
        <v>3.0000000000000001E-3</v>
      </c>
      <c r="J24" s="3">
        <v>0</v>
      </c>
    </row>
    <row r="25" spans="1:10" x14ac:dyDescent="0.35">
      <c r="A25" t="s">
        <v>16</v>
      </c>
      <c r="B25" t="s">
        <v>17</v>
      </c>
      <c r="C25" s="43">
        <f ca="1">OFFSET(H25,0,$C$1)</f>
        <v>1</v>
      </c>
      <c r="I25" s="29">
        <v>1</v>
      </c>
      <c r="J25" s="29">
        <v>1</v>
      </c>
    </row>
    <row r="26" spans="1:10" x14ac:dyDescent="0.35">
      <c r="A26" t="s">
        <v>18</v>
      </c>
      <c r="B26" t="s">
        <v>17</v>
      </c>
      <c r="C26" s="43">
        <f ca="1">OFFSET(H26,0,$C$1)</f>
        <v>1</v>
      </c>
      <c r="I26" s="29">
        <v>1</v>
      </c>
      <c r="J26" s="29">
        <v>1</v>
      </c>
    </row>
    <row r="27" spans="1:10" x14ac:dyDescent="0.35">
      <c r="C27" s="42"/>
    </row>
    <row r="28" spans="1:10" x14ac:dyDescent="0.35">
      <c r="A28" t="s">
        <v>19</v>
      </c>
      <c r="C28" s="45">
        <f ca="1">OFFSET(H28,0,$C$1)</f>
        <v>0.2</v>
      </c>
      <c r="I28" s="4">
        <v>0.2</v>
      </c>
      <c r="J28" s="4">
        <v>0.2</v>
      </c>
    </row>
    <row r="29" spans="1:10" x14ac:dyDescent="0.35">
      <c r="C29" s="42"/>
    </row>
    <row r="30" spans="1:10" x14ac:dyDescent="0.35">
      <c r="A30" s="26" t="s">
        <v>20</v>
      </c>
      <c r="C30" s="42"/>
    </row>
    <row r="31" spans="1:10" x14ac:dyDescent="0.35">
      <c r="A31" t="s">
        <v>21</v>
      </c>
      <c r="C31" s="45">
        <f ca="1">OFFSET(H31,0,$C$1)</f>
        <v>5.0000000000000001E-3</v>
      </c>
      <c r="I31" s="4">
        <v>5.0000000000000001E-3</v>
      </c>
      <c r="J31" s="4">
        <v>5.0000000000000001E-3</v>
      </c>
    </row>
    <row r="32" spans="1:10" x14ac:dyDescent="0.35">
      <c r="A32" t="s">
        <v>22</v>
      </c>
      <c r="C32" s="45">
        <f ca="1">OFFSET(H32,0,$C$1)</f>
        <v>0.2</v>
      </c>
      <c r="I32" s="4">
        <v>0.2</v>
      </c>
      <c r="J32" s="4">
        <v>0.2</v>
      </c>
    </row>
    <row r="33" spans="1:10" x14ac:dyDescent="0.35">
      <c r="A33" t="s">
        <v>23</v>
      </c>
      <c r="C33" s="45">
        <f ca="1">OFFSET(H33,0,$C$1)</f>
        <v>0.8</v>
      </c>
      <c r="I33" s="4">
        <v>0.8</v>
      </c>
      <c r="J33" s="4">
        <v>0.8</v>
      </c>
    </row>
    <row r="34" spans="1:10" x14ac:dyDescent="0.35">
      <c r="C34" s="42"/>
    </row>
    <row r="35" spans="1:10" x14ac:dyDescent="0.35">
      <c r="A35" s="38" t="s">
        <v>24</v>
      </c>
      <c r="B35" s="37"/>
      <c r="C35" s="37"/>
      <c r="I35" s="37"/>
      <c r="J35" s="37"/>
    </row>
    <row r="36" spans="1:10" x14ac:dyDescent="0.35">
      <c r="C36" s="42"/>
    </row>
    <row r="37" spans="1:10" x14ac:dyDescent="0.35">
      <c r="A37" t="s">
        <v>25</v>
      </c>
      <c r="B37" t="s">
        <v>26</v>
      </c>
      <c r="C37" s="43">
        <f ca="1">OFFSET(H37,0,$C$1)</f>
        <v>0.75</v>
      </c>
      <c r="I37" s="29">
        <v>0.75</v>
      </c>
      <c r="J37" s="29">
        <v>0.75</v>
      </c>
    </row>
    <row r="38" spans="1:10" x14ac:dyDescent="0.35">
      <c r="A38" t="s">
        <v>27</v>
      </c>
      <c r="B38" t="s">
        <v>10</v>
      </c>
      <c r="C38" s="45">
        <f ca="1">OFFSET(H38,0,$C$1)</f>
        <v>0.2</v>
      </c>
      <c r="I38" s="4">
        <v>0.2</v>
      </c>
      <c r="J38" s="4">
        <v>0.2</v>
      </c>
    </row>
    <row r="39" spans="1:10" x14ac:dyDescent="0.35">
      <c r="A39" t="s">
        <v>28</v>
      </c>
      <c r="B39" t="s">
        <v>10</v>
      </c>
      <c r="C39" s="45">
        <f ca="1">OFFSET(H39,0,$C$1)</f>
        <v>0.05</v>
      </c>
      <c r="I39" s="4">
        <v>0.05</v>
      </c>
      <c r="J39" s="4">
        <v>0.1</v>
      </c>
    </row>
    <row r="40" spans="1:10" x14ac:dyDescent="0.35">
      <c r="A40" t="s">
        <v>29</v>
      </c>
      <c r="B40" t="s">
        <v>17</v>
      </c>
      <c r="C40" s="43">
        <f ca="1">OFFSET(H40,0,$C$1)</f>
        <v>12</v>
      </c>
      <c r="I40" s="29">
        <v>12</v>
      </c>
      <c r="J40" s="29">
        <v>12</v>
      </c>
    </row>
    <row r="41" spans="1:10" x14ac:dyDescent="0.35">
      <c r="A41" t="s">
        <v>18</v>
      </c>
      <c r="B41" t="s">
        <v>17</v>
      </c>
      <c r="C41" s="43">
        <f ca="1">OFFSET(H41,0,$C$1)</f>
        <v>1</v>
      </c>
      <c r="I41" s="29">
        <v>1</v>
      </c>
      <c r="J41" s="29">
        <v>1</v>
      </c>
    </row>
    <row r="42" spans="1:10" x14ac:dyDescent="0.35">
      <c r="C42" s="42"/>
    </row>
    <row r="43" spans="1:10" x14ac:dyDescent="0.35">
      <c r="A43" t="s">
        <v>30</v>
      </c>
      <c r="B43" t="s">
        <v>26</v>
      </c>
      <c r="C43" s="43">
        <f ca="1">OFFSET(H43,0,$C$1)</f>
        <v>0.4</v>
      </c>
      <c r="I43" s="29">
        <v>0.4</v>
      </c>
      <c r="J43" s="29">
        <v>0.4</v>
      </c>
    </row>
    <row r="44" spans="1:10" x14ac:dyDescent="0.35">
      <c r="A44" t="s">
        <v>31</v>
      </c>
      <c r="B44" t="s">
        <v>10</v>
      </c>
      <c r="C44" s="45">
        <f ca="1">OFFSET(H44,0,$C$1)</f>
        <v>0.05</v>
      </c>
      <c r="I44" s="4">
        <v>0.05</v>
      </c>
      <c r="J44" s="4">
        <v>0.1</v>
      </c>
    </row>
    <row r="45" spans="1:10" x14ac:dyDescent="0.35">
      <c r="A45" t="s">
        <v>32</v>
      </c>
      <c r="B45" t="s">
        <v>17</v>
      </c>
      <c r="C45" s="43">
        <f ca="1">OFFSET(H45,0,$C$1)</f>
        <v>12</v>
      </c>
      <c r="I45" s="29">
        <v>12</v>
      </c>
      <c r="J45" s="29">
        <v>12</v>
      </c>
    </row>
    <row r="46" spans="1:10" x14ac:dyDescent="0.35">
      <c r="A46" t="s">
        <v>18</v>
      </c>
      <c r="B46" t="s">
        <v>17</v>
      </c>
      <c r="C46" s="43">
        <f ca="1">OFFSET(H46,0,$C$1)</f>
        <v>1</v>
      </c>
      <c r="I46" s="29">
        <v>1</v>
      </c>
      <c r="J46" s="29">
        <v>1</v>
      </c>
    </row>
    <row r="47" spans="1:10" x14ac:dyDescent="0.35">
      <c r="C47" s="42"/>
    </row>
    <row r="48" spans="1:10" x14ac:dyDescent="0.35">
      <c r="A48" t="s">
        <v>33</v>
      </c>
      <c r="B48" t="s">
        <v>34</v>
      </c>
      <c r="C48" s="43">
        <f ca="1">OFFSET(H48,0,$C$1)</f>
        <v>15</v>
      </c>
      <c r="I48" s="29">
        <v>15</v>
      </c>
      <c r="J48" s="29">
        <v>15</v>
      </c>
    </row>
    <row r="49" spans="1:10" x14ac:dyDescent="0.35">
      <c r="A49" t="s">
        <v>35</v>
      </c>
      <c r="B49" t="s">
        <v>10</v>
      </c>
      <c r="C49" s="45">
        <f ca="1">OFFSET(H49,0,$C$1)</f>
        <v>0</v>
      </c>
      <c r="I49" s="4">
        <v>0</v>
      </c>
      <c r="J49" s="4">
        <v>0</v>
      </c>
    </row>
    <row r="50" spans="1:10" x14ac:dyDescent="0.35">
      <c r="A50" t="s">
        <v>36</v>
      </c>
      <c r="B50" t="s">
        <v>17</v>
      </c>
      <c r="C50" s="43">
        <f ca="1">OFFSET(H50,0,$C$1)</f>
        <v>12</v>
      </c>
      <c r="I50" s="29">
        <v>12</v>
      </c>
      <c r="J50" s="29">
        <v>12</v>
      </c>
    </row>
    <row r="51" spans="1:10" x14ac:dyDescent="0.35">
      <c r="A51" t="s">
        <v>18</v>
      </c>
      <c r="B51" t="s">
        <v>17</v>
      </c>
      <c r="C51" s="43">
        <f ca="1">OFFSET(H51,0,$C$1)</f>
        <v>1</v>
      </c>
      <c r="I51" s="29">
        <v>1</v>
      </c>
      <c r="J51" s="29">
        <v>1</v>
      </c>
    </row>
    <row r="52" spans="1:10" x14ac:dyDescent="0.35">
      <c r="C52" s="42"/>
    </row>
    <row r="53" spans="1:10" x14ac:dyDescent="0.35">
      <c r="A53" t="s">
        <v>37</v>
      </c>
      <c r="B53" t="s">
        <v>26</v>
      </c>
      <c r="C53" s="43">
        <f ca="1">OFFSET(H53,0,$C$1)</f>
        <v>1.3</v>
      </c>
      <c r="I53" s="29">
        <v>1.3</v>
      </c>
      <c r="J53" s="29">
        <v>1.3</v>
      </c>
    </row>
    <row r="54" spans="1:10" x14ac:dyDescent="0.35">
      <c r="A54" t="s">
        <v>38</v>
      </c>
      <c r="B54" t="s">
        <v>10</v>
      </c>
      <c r="C54" s="45">
        <f ca="1">OFFSET(H54,0,$C$1)</f>
        <v>0.2</v>
      </c>
      <c r="I54" s="4">
        <v>0.2</v>
      </c>
      <c r="J54" s="4">
        <v>0.2</v>
      </c>
    </row>
    <row r="55" spans="1:10" x14ac:dyDescent="0.35">
      <c r="A55" t="s">
        <v>39</v>
      </c>
      <c r="B55" t="s">
        <v>10</v>
      </c>
      <c r="C55" s="45">
        <f ca="1">OFFSET(H55,0,$C$1)</f>
        <v>0.05</v>
      </c>
      <c r="I55" s="4">
        <v>0.05</v>
      </c>
      <c r="J55" s="4">
        <v>0.1</v>
      </c>
    </row>
    <row r="56" spans="1:10" x14ac:dyDescent="0.35">
      <c r="A56" t="s">
        <v>40</v>
      </c>
      <c r="B56" t="s">
        <v>17</v>
      </c>
      <c r="C56" s="43">
        <f ca="1">OFFSET(H56,0,$C$1)</f>
        <v>12</v>
      </c>
      <c r="I56" s="29">
        <v>12</v>
      </c>
      <c r="J56" s="29">
        <v>12</v>
      </c>
    </row>
    <row r="57" spans="1:10" x14ac:dyDescent="0.35">
      <c r="A57" t="s">
        <v>18</v>
      </c>
      <c r="B57" t="s">
        <v>17</v>
      </c>
      <c r="C57" s="43">
        <f ca="1">OFFSET(H57,0,$C$1)</f>
        <v>1</v>
      </c>
      <c r="I57" s="29">
        <v>1</v>
      </c>
      <c r="J57" s="29">
        <v>1</v>
      </c>
    </row>
    <row r="58" spans="1:10" x14ac:dyDescent="0.35">
      <c r="C58" s="42"/>
    </row>
    <row r="59" spans="1:10" x14ac:dyDescent="0.35">
      <c r="A59" t="s">
        <v>41</v>
      </c>
      <c r="B59" t="s">
        <v>42</v>
      </c>
      <c r="C59" s="43">
        <f ca="1">OFFSET(H59,0,$C$1)</f>
        <v>5</v>
      </c>
      <c r="I59" s="29">
        <v>5</v>
      </c>
      <c r="J59" s="29">
        <v>5</v>
      </c>
    </row>
    <row r="60" spans="1:10" x14ac:dyDescent="0.35">
      <c r="A60" t="s">
        <v>43</v>
      </c>
      <c r="B60" t="s">
        <v>10</v>
      </c>
      <c r="C60" s="45">
        <f ca="1">OFFSET(H60,0,$C$1)</f>
        <v>0</v>
      </c>
      <c r="I60" s="4">
        <v>0</v>
      </c>
      <c r="J60" s="4">
        <v>0</v>
      </c>
    </row>
    <row r="61" spans="1:10" x14ac:dyDescent="0.35">
      <c r="A61" t="s">
        <v>44</v>
      </c>
      <c r="B61" t="s">
        <v>17</v>
      </c>
      <c r="C61" s="43">
        <f ca="1">OFFSET(H61,0,$C$1)</f>
        <v>12</v>
      </c>
      <c r="I61" s="29">
        <v>12</v>
      </c>
      <c r="J61" s="29">
        <v>12</v>
      </c>
    </row>
    <row r="62" spans="1:10" x14ac:dyDescent="0.35">
      <c r="A62" t="s">
        <v>18</v>
      </c>
      <c r="B62" t="s">
        <v>17</v>
      </c>
      <c r="C62" s="43">
        <f ca="1">OFFSET(H62,0,$C$1)</f>
        <v>1</v>
      </c>
      <c r="I62" s="29">
        <v>1</v>
      </c>
      <c r="J62" s="29">
        <v>1</v>
      </c>
    </row>
    <row r="63" spans="1:10" x14ac:dyDescent="0.35">
      <c r="C63" s="42"/>
    </row>
    <row r="64" spans="1:10" x14ac:dyDescent="0.35">
      <c r="A64" t="s">
        <v>45</v>
      </c>
      <c r="B64" t="s">
        <v>26</v>
      </c>
      <c r="C64" s="43">
        <f ca="1">OFFSET(H64,0,$C$1)</f>
        <v>0.5</v>
      </c>
      <c r="I64" s="29">
        <v>0.5</v>
      </c>
      <c r="J64" s="29">
        <v>0.5</v>
      </c>
    </row>
    <row r="65" spans="1:10" x14ac:dyDescent="0.35">
      <c r="A65" t="s">
        <v>46</v>
      </c>
      <c r="B65" t="s">
        <v>10</v>
      </c>
      <c r="C65" s="45">
        <f ca="1">OFFSET(H65,0,$C$1)</f>
        <v>0.05</v>
      </c>
      <c r="I65" s="4">
        <v>0.05</v>
      </c>
      <c r="J65" s="4">
        <v>0.1</v>
      </c>
    </row>
    <row r="66" spans="1:10" x14ac:dyDescent="0.35">
      <c r="A66" t="s">
        <v>40</v>
      </c>
      <c r="B66" t="s">
        <v>17</v>
      </c>
      <c r="C66" s="43">
        <f ca="1">OFFSET(H66,0,$C$1)</f>
        <v>12</v>
      </c>
      <c r="I66" s="29">
        <v>12</v>
      </c>
      <c r="J66" s="29">
        <v>12</v>
      </c>
    </row>
    <row r="67" spans="1:10" x14ac:dyDescent="0.35">
      <c r="A67" t="s">
        <v>18</v>
      </c>
      <c r="B67" t="s">
        <v>17</v>
      </c>
      <c r="C67" s="43">
        <f ca="1">OFFSET(H67,0,$C$1)</f>
        <v>1</v>
      </c>
      <c r="I67" s="29">
        <v>1</v>
      </c>
      <c r="J67" s="29">
        <v>1</v>
      </c>
    </row>
    <row r="68" spans="1:10" x14ac:dyDescent="0.35">
      <c r="C68" s="42"/>
    </row>
    <row r="69" spans="1:10" x14ac:dyDescent="0.35">
      <c r="A69" t="s">
        <v>47</v>
      </c>
      <c r="B69" t="s">
        <v>26</v>
      </c>
      <c r="C69" s="43">
        <f ca="1">OFFSET(H69,0,$C$1)</f>
        <v>3</v>
      </c>
      <c r="I69" s="29">
        <v>3</v>
      </c>
      <c r="J69" s="29">
        <v>3</v>
      </c>
    </row>
    <row r="70" spans="1:10" x14ac:dyDescent="0.35">
      <c r="A70" t="s">
        <v>48</v>
      </c>
      <c r="B70" t="s">
        <v>10</v>
      </c>
      <c r="C70" s="45">
        <f ca="1">OFFSET(H70,0,$C$1)</f>
        <v>0.2</v>
      </c>
      <c r="I70" s="4">
        <v>0.2</v>
      </c>
      <c r="J70" s="4">
        <v>0.2</v>
      </c>
    </row>
    <row r="71" spans="1:10" x14ac:dyDescent="0.35">
      <c r="A71" t="s">
        <v>49</v>
      </c>
      <c r="B71" t="s">
        <v>10</v>
      </c>
      <c r="C71" s="45">
        <f ca="1">OFFSET(H71,0,$C$1)</f>
        <v>0.05</v>
      </c>
      <c r="I71" s="4">
        <v>0.05</v>
      </c>
      <c r="J71" s="4">
        <v>0.1</v>
      </c>
    </row>
    <row r="72" spans="1:10" x14ac:dyDescent="0.35">
      <c r="A72" t="s">
        <v>50</v>
      </c>
      <c r="B72" t="s">
        <v>17</v>
      </c>
      <c r="C72" s="43">
        <f ca="1">OFFSET(H72,0,$C$1)</f>
        <v>12</v>
      </c>
      <c r="I72" s="29">
        <v>12</v>
      </c>
      <c r="J72" s="29">
        <v>12</v>
      </c>
    </row>
    <row r="73" spans="1:10" x14ac:dyDescent="0.35">
      <c r="A73" t="s">
        <v>18</v>
      </c>
      <c r="B73" t="s">
        <v>17</v>
      </c>
      <c r="C73" s="43">
        <f ca="1">OFFSET(H73,0,$C$1)</f>
        <v>1</v>
      </c>
      <c r="I73" s="29">
        <v>1</v>
      </c>
      <c r="J73" s="29">
        <v>1</v>
      </c>
    </row>
    <row r="74" spans="1:10" x14ac:dyDescent="0.35">
      <c r="C74" s="42"/>
    </row>
    <row r="75" spans="1:10" x14ac:dyDescent="0.35">
      <c r="C75" s="42"/>
    </row>
    <row r="76" spans="1:10" x14ac:dyDescent="0.35">
      <c r="A76" s="38" t="s">
        <v>51</v>
      </c>
      <c r="B76" s="37"/>
      <c r="C76" s="37"/>
      <c r="I76" s="37"/>
      <c r="J76" s="37"/>
    </row>
    <row r="77" spans="1:10" x14ac:dyDescent="0.35">
      <c r="C77" s="42"/>
    </row>
    <row r="78" spans="1:10" x14ac:dyDescent="0.35">
      <c r="A78" t="s">
        <v>52</v>
      </c>
      <c r="B78" t="s">
        <v>14</v>
      </c>
      <c r="C78" s="43">
        <f ca="1">OFFSET(H78,0,$C$1)</f>
        <v>10</v>
      </c>
      <c r="I78" s="29">
        <v>10</v>
      </c>
      <c r="J78" s="29">
        <v>10</v>
      </c>
    </row>
    <row r="79" spans="1:10" x14ac:dyDescent="0.35">
      <c r="A79" t="s">
        <v>53</v>
      </c>
      <c r="B79" t="s">
        <v>10</v>
      </c>
      <c r="C79" s="40">
        <f ca="1">OFFSET(H79,0,$C$1)</f>
        <v>0.2</v>
      </c>
      <c r="I79" s="31">
        <v>0.2</v>
      </c>
      <c r="J79" s="31">
        <v>0.2</v>
      </c>
    </row>
    <row r="80" spans="1:10" x14ac:dyDescent="0.35">
      <c r="A80" t="s">
        <v>54</v>
      </c>
      <c r="B80" t="s">
        <v>10</v>
      </c>
      <c r="C80" s="45">
        <f ca="1">OFFSET(H80,0,$C$1)</f>
        <v>0.05</v>
      </c>
      <c r="I80" s="4">
        <v>0.05</v>
      </c>
      <c r="J80" s="4">
        <v>0.1</v>
      </c>
    </row>
    <row r="81" spans="1:10" x14ac:dyDescent="0.35">
      <c r="A81" t="s">
        <v>55</v>
      </c>
      <c r="B81" t="s">
        <v>17</v>
      </c>
      <c r="C81" s="43">
        <f ca="1">OFFSET(H81,0,$C$1)</f>
        <v>12</v>
      </c>
      <c r="I81" s="29">
        <v>12</v>
      </c>
      <c r="J81" s="29">
        <v>12</v>
      </c>
    </row>
    <row r="82" spans="1:10" x14ac:dyDescent="0.35">
      <c r="A82" t="s">
        <v>18</v>
      </c>
      <c r="B82" t="s">
        <v>17</v>
      </c>
      <c r="C82" s="43">
        <f ca="1">OFFSET(H82,0,$C$1)</f>
        <v>1</v>
      </c>
      <c r="I82" s="29">
        <v>1</v>
      </c>
      <c r="J82" s="29">
        <v>1</v>
      </c>
    </row>
    <row r="83" spans="1:10" x14ac:dyDescent="0.35">
      <c r="C83" s="42"/>
    </row>
    <row r="84" spans="1:10" x14ac:dyDescent="0.35">
      <c r="A84" t="s">
        <v>56</v>
      </c>
      <c r="B84" t="s">
        <v>14</v>
      </c>
      <c r="C84" s="43">
        <f ca="1">OFFSET(H84,0,$C$1)</f>
        <v>5</v>
      </c>
      <c r="I84" s="29">
        <v>5</v>
      </c>
      <c r="J84" s="29">
        <v>5</v>
      </c>
    </row>
    <row r="85" spans="1:10" x14ac:dyDescent="0.35">
      <c r="A85" t="s">
        <v>57</v>
      </c>
      <c r="B85" t="s">
        <v>10</v>
      </c>
      <c r="C85" s="45">
        <f ca="1">OFFSET(H85,0,$C$1)</f>
        <v>0.2</v>
      </c>
      <c r="I85" s="4">
        <v>0.2</v>
      </c>
      <c r="J85" s="4">
        <v>0.2</v>
      </c>
    </row>
    <row r="86" spans="1:10" x14ac:dyDescent="0.35">
      <c r="A86" t="s">
        <v>58</v>
      </c>
      <c r="B86" t="s">
        <v>10</v>
      </c>
      <c r="C86" s="45">
        <f ca="1">OFFSET(H86,0,$C$1)</f>
        <v>0.05</v>
      </c>
      <c r="I86" s="4">
        <v>0.05</v>
      </c>
      <c r="J86" s="4">
        <v>0.1</v>
      </c>
    </row>
    <row r="87" spans="1:10" x14ac:dyDescent="0.35">
      <c r="A87" t="s">
        <v>40</v>
      </c>
      <c r="B87" t="s">
        <v>17</v>
      </c>
      <c r="C87" s="43">
        <f ca="1">OFFSET(H87,0,$C$1)</f>
        <v>12</v>
      </c>
      <c r="I87" s="29">
        <v>12</v>
      </c>
      <c r="J87" s="29">
        <v>12</v>
      </c>
    </row>
    <row r="88" spans="1:10" x14ac:dyDescent="0.35">
      <c r="A88" t="s">
        <v>18</v>
      </c>
      <c r="B88" t="s">
        <v>17</v>
      </c>
      <c r="C88" s="43">
        <f ca="1">OFFSET(H88,0,$C$1)</f>
        <v>1</v>
      </c>
      <c r="I88" s="29">
        <v>1</v>
      </c>
      <c r="J88" s="29">
        <v>1</v>
      </c>
    </row>
    <row r="89" spans="1:10" x14ac:dyDescent="0.35">
      <c r="C89" s="42"/>
    </row>
    <row r="90" spans="1:10" x14ac:dyDescent="0.35">
      <c r="A90" s="38" t="s">
        <v>59</v>
      </c>
      <c r="B90" s="37"/>
      <c r="C90" s="37">
        <f ca="1">OFFSET(H90,0,$C$1)</f>
        <v>0</v>
      </c>
      <c r="I90" s="37"/>
      <c r="J90" s="37"/>
    </row>
    <row r="91" spans="1:10" x14ac:dyDescent="0.35">
      <c r="C91" s="42"/>
    </row>
    <row r="92" spans="1:10" x14ac:dyDescent="0.35">
      <c r="A92" t="s">
        <v>60</v>
      </c>
      <c r="B92" t="s">
        <v>14</v>
      </c>
      <c r="C92" s="43">
        <f ca="1">OFFSET(H92,0,$C$1)</f>
        <v>360</v>
      </c>
      <c r="I92" s="29">
        <v>360</v>
      </c>
      <c r="J92" s="29">
        <v>360</v>
      </c>
    </row>
    <row r="93" spans="1:10" x14ac:dyDescent="0.35">
      <c r="A93" t="s">
        <v>61</v>
      </c>
      <c r="C93" s="46">
        <f ca="1">OFFSET(H93,0,$C$1)</f>
        <v>46388</v>
      </c>
      <c r="I93" s="77">
        <v>46388</v>
      </c>
      <c r="J93" s="77">
        <v>46388</v>
      </c>
    </row>
    <row r="94" spans="1:10" x14ac:dyDescent="0.35">
      <c r="C94" s="46">
        <f ca="1">OFFSET(H94,0,$C$1)</f>
        <v>47119</v>
      </c>
      <c r="I94" s="77">
        <v>47119</v>
      </c>
      <c r="J94" s="77">
        <v>47119</v>
      </c>
    </row>
    <row r="95" spans="1:10" x14ac:dyDescent="0.35">
      <c r="C95" s="42"/>
    </row>
    <row r="96" spans="1:10" x14ac:dyDescent="0.35">
      <c r="A96" t="s">
        <v>62</v>
      </c>
      <c r="B96" t="s">
        <v>14</v>
      </c>
      <c r="C96" s="43">
        <f ca="1">OFFSET(H96,0,$C$1)</f>
        <v>180</v>
      </c>
      <c r="I96" s="29">
        <v>180</v>
      </c>
      <c r="J96" s="29">
        <v>180</v>
      </c>
    </row>
    <row r="97" spans="1:10" x14ac:dyDescent="0.35">
      <c r="A97" t="s">
        <v>63</v>
      </c>
      <c r="B97" t="s">
        <v>17</v>
      </c>
      <c r="C97" s="43">
        <f ca="1">OFFSET(H97,0,$C$1)</f>
        <v>24</v>
      </c>
      <c r="I97" s="29">
        <v>24</v>
      </c>
      <c r="J97" s="29">
        <v>24</v>
      </c>
    </row>
    <row r="98" spans="1:10" x14ac:dyDescent="0.35">
      <c r="C98" s="42"/>
    </row>
    <row r="99" spans="1:10" x14ac:dyDescent="0.35">
      <c r="C99" s="42"/>
    </row>
    <row r="100" spans="1:10" x14ac:dyDescent="0.35">
      <c r="A100" s="38" t="s">
        <v>64</v>
      </c>
      <c r="B100" s="37"/>
      <c r="C100" s="37"/>
      <c r="I100" s="37"/>
      <c r="J100" s="37"/>
    </row>
    <row r="101" spans="1:10" x14ac:dyDescent="0.35">
      <c r="A101" t="s">
        <v>65</v>
      </c>
      <c r="B101" t="s">
        <v>14</v>
      </c>
      <c r="C101" s="43">
        <f ca="1">OFFSET(H101,0,$C$1)</f>
        <v>30</v>
      </c>
      <c r="I101" s="29">
        <v>30</v>
      </c>
      <c r="J101" s="29">
        <v>30</v>
      </c>
    </row>
    <row r="102" spans="1:10" x14ac:dyDescent="0.35">
      <c r="A102" t="s">
        <v>66</v>
      </c>
      <c r="B102" t="s">
        <v>14</v>
      </c>
      <c r="C102" s="43">
        <f ca="1">OFFSET(H102,0,$C$1)</f>
        <v>40</v>
      </c>
      <c r="I102" s="29">
        <v>40</v>
      </c>
      <c r="J102" s="29">
        <v>40</v>
      </c>
    </row>
    <row r="103" spans="1:10" ht="15.75" customHeight="1" x14ac:dyDescent="0.35">
      <c r="C103" s="42"/>
    </row>
    <row r="104" spans="1:10" x14ac:dyDescent="0.35">
      <c r="A104" s="38" t="s">
        <v>67</v>
      </c>
      <c r="B104" s="37"/>
      <c r="C104" s="37"/>
      <c r="I104" s="37"/>
      <c r="J104" s="37"/>
    </row>
    <row r="105" spans="1:10" x14ac:dyDescent="0.35">
      <c r="A105" t="s">
        <v>68</v>
      </c>
      <c r="B105" t="s">
        <v>10</v>
      </c>
      <c r="C105" s="45">
        <f ca="1">OFFSET(H105,0,$C$1)</f>
        <v>0.13</v>
      </c>
      <c r="I105" s="4">
        <v>0.13</v>
      </c>
      <c r="J105" s="4">
        <v>0.13</v>
      </c>
    </row>
    <row r="106" spans="1:10" x14ac:dyDescent="0.35">
      <c r="A106" t="s">
        <v>65</v>
      </c>
      <c r="B106" t="s">
        <v>14</v>
      </c>
      <c r="C106" s="47">
        <f ca="1">OFFSET(H106,0,$C$1)</f>
        <v>34.482758620689658</v>
      </c>
      <c r="I106" s="30">
        <f>I101/(1-I105)</f>
        <v>34.482758620689658</v>
      </c>
      <c r="J106" s="30">
        <f>J101/(1-J105)</f>
        <v>34.482758620689658</v>
      </c>
    </row>
    <row r="107" spans="1:10" x14ac:dyDescent="0.35">
      <c r="A107" t="s">
        <v>66</v>
      </c>
      <c r="B107" t="s">
        <v>14</v>
      </c>
      <c r="C107" s="47">
        <f ca="1">OFFSET(H107,0,$C$1)</f>
        <v>45.977011494252871</v>
      </c>
      <c r="I107" s="30">
        <f>I102/(1-I105)</f>
        <v>45.977011494252871</v>
      </c>
      <c r="J107" s="30">
        <f>J102/(1-J105)</f>
        <v>45.977011494252871</v>
      </c>
    </row>
    <row r="108" spans="1:10" x14ac:dyDescent="0.35">
      <c r="C108" s="42"/>
    </row>
    <row r="109" spans="1:10" x14ac:dyDescent="0.35">
      <c r="C109" s="43"/>
      <c r="I109" s="29"/>
      <c r="J109" s="29"/>
    </row>
    <row r="110" spans="1:10" x14ac:dyDescent="0.35">
      <c r="A110" s="38" t="s">
        <v>69</v>
      </c>
      <c r="B110" s="37"/>
      <c r="C110" s="37"/>
      <c r="I110" s="37"/>
      <c r="J110" s="37"/>
    </row>
    <row r="111" spans="1:10" x14ac:dyDescent="0.35">
      <c r="A111" t="s">
        <v>65</v>
      </c>
      <c r="B111" t="s">
        <v>10</v>
      </c>
      <c r="C111" s="45">
        <f ca="1">OFFSET(H111,0,$C$1)</f>
        <v>0.30199999999999999</v>
      </c>
      <c r="I111" s="4">
        <v>0.30199999999999999</v>
      </c>
      <c r="J111" s="4">
        <v>0.30199999999999999</v>
      </c>
    </row>
    <row r="112" spans="1:10" x14ac:dyDescent="0.35">
      <c r="A112" t="s">
        <v>66</v>
      </c>
      <c r="B112" t="s">
        <v>10</v>
      </c>
      <c r="C112" s="45">
        <f ca="1">OFFSET(H112,0,$C$1)</f>
        <v>0.30199999999999999</v>
      </c>
      <c r="I112" s="4">
        <v>0.30199999999999999</v>
      </c>
      <c r="J112" s="4">
        <v>0.30199999999999999</v>
      </c>
    </row>
    <row r="113" spans="1:10" x14ac:dyDescent="0.35">
      <c r="C113" s="42"/>
    </row>
    <row r="114" spans="1:10" x14ac:dyDescent="0.35">
      <c r="A114" s="38" t="s">
        <v>70</v>
      </c>
      <c r="B114" s="37"/>
      <c r="C114" s="37"/>
      <c r="I114" s="37"/>
      <c r="J114" s="37"/>
    </row>
    <row r="115" spans="1:10" x14ac:dyDescent="0.35">
      <c r="A115" t="s">
        <v>71</v>
      </c>
      <c r="B115" t="s">
        <v>14</v>
      </c>
      <c r="C115" s="48">
        <f ca="1">OFFSET(H115,0,$C$1)</f>
        <v>-150</v>
      </c>
      <c r="I115" s="34">
        <v>-150</v>
      </c>
      <c r="J115" s="34">
        <v>-150</v>
      </c>
    </row>
    <row r="116" spans="1:10" x14ac:dyDescent="0.35">
      <c r="A116" t="s">
        <v>72</v>
      </c>
      <c r="B116" t="s">
        <v>10</v>
      </c>
      <c r="C116" s="49">
        <f ca="1">OFFSET(H116,0,$C$1)</f>
        <v>0.2</v>
      </c>
      <c r="I116" s="35">
        <v>0.2</v>
      </c>
      <c r="J116" s="35">
        <v>0.2</v>
      </c>
    </row>
    <row r="125" spans="1:10" x14ac:dyDescent="0.35">
      <c r="A125" t="s">
        <v>73</v>
      </c>
      <c r="B125" t="s">
        <v>10</v>
      </c>
    </row>
    <row r="126" spans="1:10" x14ac:dyDescent="0.35">
      <c r="A126" t="s">
        <v>74</v>
      </c>
      <c r="B126" t="s">
        <v>10</v>
      </c>
    </row>
    <row r="127" spans="1:10" x14ac:dyDescent="0.35">
      <c r="A127" t="s">
        <v>40</v>
      </c>
      <c r="B127" t="s">
        <v>17</v>
      </c>
    </row>
    <row r="128" spans="1:10" x14ac:dyDescent="0.35">
      <c r="A128" t="s">
        <v>18</v>
      </c>
      <c r="B128" t="s">
        <v>17</v>
      </c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U212"/>
  <sheetViews>
    <sheetView zoomScale="130" zoomScaleNormal="130" workbookViewId="0">
      <pane xSplit="8" ySplit="1" topLeftCell="I2" activePane="bottomRight" state="frozen"/>
      <selection pane="topRight" activeCell="I1" sqref="I1"/>
      <selection pane="bottomLeft" activeCell="A2" sqref="A2"/>
      <selection pane="bottomRight" activeCell="F165" sqref="F165"/>
    </sheetView>
  </sheetViews>
  <sheetFormatPr defaultRowHeight="14.5" outlineLevelRow="1" x14ac:dyDescent="0.35"/>
  <cols>
    <col min="2" max="2" width="48.1796875" style="86" customWidth="1"/>
    <col min="3" max="3" width="8.54296875" style="86" bestFit="1" customWidth="1"/>
    <col min="4" max="4" width="9.1796875" style="86" customWidth="1"/>
    <col min="5" max="5" width="8.54296875" style="86" bestFit="1" customWidth="1"/>
    <col min="9" max="9" width="8.1796875" style="86" customWidth="1"/>
    <col min="10" max="10" width="9.54296875" style="86" bestFit="1" customWidth="1"/>
    <col min="11" max="13" width="8.54296875" style="86" bestFit="1" customWidth="1"/>
    <col min="14" max="14" width="9.7265625" style="86" bestFit="1" customWidth="1"/>
    <col min="15" max="20" width="8.54296875" style="86" bestFit="1" customWidth="1"/>
    <col min="21" max="21" width="9.7265625" style="86" bestFit="1" customWidth="1"/>
    <col min="22" max="25" width="8.54296875" style="86" bestFit="1" customWidth="1"/>
    <col min="26" max="26" width="9.7265625" style="86" bestFit="1" customWidth="1"/>
    <col min="27" max="32" width="8.54296875" style="86" bestFit="1" customWidth="1"/>
    <col min="33" max="33" width="9.7265625" style="86" bestFit="1" customWidth="1"/>
    <col min="34" max="37" width="8.54296875" style="86" bestFit="1" customWidth="1"/>
    <col min="38" max="38" width="9.7265625" style="86" bestFit="1" customWidth="1"/>
    <col min="39" max="40" width="8.54296875" style="86" bestFit="1" customWidth="1"/>
    <col min="41" max="41" width="9.7265625" style="86" bestFit="1" customWidth="1"/>
    <col min="42" max="44" width="8.54296875" style="86" bestFit="1" customWidth="1"/>
    <col min="45" max="45" width="9.7265625" style="86" bestFit="1" customWidth="1"/>
    <col min="46" max="46" width="8.54296875" style="86" bestFit="1" customWidth="1"/>
  </cols>
  <sheetData>
    <row r="1" spans="2:47" s="6" customFormat="1" ht="15" customHeight="1" thickBot="1" x14ac:dyDescent="0.4">
      <c r="I1" s="7">
        <v>45992</v>
      </c>
      <c r="J1" s="7">
        <v>46023</v>
      </c>
      <c r="K1" s="7">
        <v>46054</v>
      </c>
      <c r="L1" s="7">
        <v>46082</v>
      </c>
      <c r="M1" s="7">
        <v>46113</v>
      </c>
      <c r="N1" s="7">
        <v>46143</v>
      </c>
      <c r="O1" s="7">
        <v>46174</v>
      </c>
      <c r="P1" s="7">
        <v>46204</v>
      </c>
      <c r="Q1" s="7">
        <v>46235</v>
      </c>
      <c r="R1" s="7">
        <v>46266</v>
      </c>
      <c r="S1" s="7">
        <v>46296</v>
      </c>
      <c r="T1" s="7">
        <v>46327</v>
      </c>
      <c r="U1" s="7">
        <v>46357</v>
      </c>
      <c r="V1" s="7">
        <v>46388</v>
      </c>
      <c r="W1" s="7">
        <v>46419</v>
      </c>
      <c r="X1" s="7">
        <v>46447</v>
      </c>
      <c r="Y1" s="7">
        <v>46478</v>
      </c>
      <c r="Z1" s="7">
        <v>46508</v>
      </c>
      <c r="AA1" s="7">
        <v>46539</v>
      </c>
      <c r="AB1" s="7">
        <v>46569</v>
      </c>
      <c r="AC1" s="7">
        <v>46600</v>
      </c>
      <c r="AD1" s="7">
        <v>46631</v>
      </c>
      <c r="AE1" s="7">
        <v>46661</v>
      </c>
      <c r="AF1" s="7">
        <v>46692</v>
      </c>
      <c r="AG1" s="7">
        <v>46722</v>
      </c>
      <c r="AH1" s="7">
        <v>46753</v>
      </c>
      <c r="AI1" s="7">
        <v>46784</v>
      </c>
      <c r="AJ1" s="7">
        <v>46813</v>
      </c>
      <c r="AK1" s="7">
        <v>46844</v>
      </c>
      <c r="AL1" s="7">
        <v>46874</v>
      </c>
      <c r="AM1" s="7">
        <v>46905</v>
      </c>
      <c r="AN1" s="7">
        <v>46935</v>
      </c>
      <c r="AO1" s="7">
        <v>46966</v>
      </c>
      <c r="AP1" s="7">
        <v>46997</v>
      </c>
      <c r="AQ1" s="7">
        <v>47027</v>
      </c>
      <c r="AR1" s="7">
        <v>47058</v>
      </c>
      <c r="AS1" s="7">
        <v>47088</v>
      </c>
      <c r="AT1" s="7">
        <v>47119</v>
      </c>
      <c r="AU1" s="7"/>
    </row>
    <row r="2" spans="2:47" s="1" customFormat="1" ht="15" customHeight="1" thickBot="1" x14ac:dyDescent="0.4">
      <c r="B2" s="1" t="s">
        <v>6</v>
      </c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</row>
    <row r="3" spans="2:47" x14ac:dyDescent="0.35">
      <c r="B3" t="s">
        <v>75</v>
      </c>
      <c r="C3" t="s">
        <v>42</v>
      </c>
      <c r="F3" s="29"/>
      <c r="G3" s="29"/>
      <c r="H3" s="29"/>
      <c r="J3" s="8">
        <f ca="1">IF(J$1=DATE(2026,1,1),Предпосылки!$C5,I3*Предпосылки!$C$6+I3)</f>
        <v>50</v>
      </c>
      <c r="K3" s="8">
        <f ca="1">IF(K$1=DATE(2026,1,1),Предпосылки!$C5,J3*Предпосылки!$C$6+J3)</f>
        <v>50.5</v>
      </c>
      <c r="L3" s="8">
        <f ca="1">IF(L$1=DATE(2026,1,1),Предпосылки!$C5,K3*Предпосылки!$C$6+K3)</f>
        <v>51.005000000000003</v>
      </c>
      <c r="M3" s="8">
        <f ca="1">IF(M$1=DATE(2026,1,1),Предпосылки!$C5,L3*Предпосылки!$C$6+L3)</f>
        <v>51.515050000000002</v>
      </c>
      <c r="N3" s="8">
        <f ca="1">IF(N$1=DATE(2026,1,1),Предпосылки!$C5,M3*Предпосылки!$C$6+M3)</f>
        <v>52.030200499999999</v>
      </c>
      <c r="O3" s="8">
        <f ca="1">IF(O$1=DATE(2026,1,1),Предпосылки!$C5,N3*Предпосылки!$C$6+N3)</f>
        <v>52.550502504999997</v>
      </c>
      <c r="P3" s="8">
        <f ca="1">IF(P$1=DATE(2026,1,1),Предпосылки!$C5,O3*Предпосылки!$C$6+O3)</f>
        <v>53.076007530049999</v>
      </c>
      <c r="Q3" s="8">
        <f ca="1">IF(Q$1=DATE(2026,1,1),Предпосылки!$C5,P3*Предпосылки!$C$6+P3)</f>
        <v>53.606767605350498</v>
      </c>
      <c r="R3" s="8">
        <f ca="1">IF(R$1=DATE(2026,1,1),Предпосылки!$C5,Q3*Предпосылки!$C$6+Q3)</f>
        <v>54.142835281404004</v>
      </c>
      <c r="S3" s="8">
        <f ca="1">IF(S$1=DATE(2026,1,1),Предпосылки!$C5,R3*Предпосылки!$C$6+R3)</f>
        <v>54.684263634218041</v>
      </c>
      <c r="T3" s="8">
        <f ca="1">IF(T$1=DATE(2026,1,1),Предпосылки!$C5,S3*Предпосылки!$C$6+S3)</f>
        <v>55.231106270560218</v>
      </c>
      <c r="U3" s="8">
        <f ca="1">IF(U$1=DATE(2026,1,1),Предпосылки!$C5,T3*Предпосылки!$C$6+T3)</f>
        <v>55.783417333265824</v>
      </c>
      <c r="V3" s="8">
        <f ca="1">IF(V$1=DATE(2026,1,1),Предпосылки!$C5,U3*Предпосылки!$C$6+U3)</f>
        <v>56.341251506598482</v>
      </c>
      <c r="W3" s="8">
        <f ca="1">IF(W$1=DATE(2026,1,1),Предпосылки!$C5,V3*Предпосылки!$C$6+V3)</f>
        <v>56.904664021664466</v>
      </c>
      <c r="X3" s="8">
        <f ca="1">IF(X$1=DATE(2026,1,1),Предпосылки!$C5,W3*Предпосылки!$C$6+W3)</f>
        <v>57.473710661881114</v>
      </c>
      <c r="Y3" s="8">
        <f ca="1">IF(Y$1=DATE(2026,1,1),Предпосылки!$C5,X3*Предпосылки!$C$6+X3)</f>
        <v>58.048447768499926</v>
      </c>
      <c r="Z3" s="8">
        <f ca="1">IF(Z$1=DATE(2026,1,1),Предпосылки!$C5,Y3*Предпосылки!$C$6+Y3)</f>
        <v>58.628932246184924</v>
      </c>
      <c r="AA3" s="8">
        <f ca="1">IF(AA$1=DATE(2026,1,1),Предпосылки!$C5,Z3*Предпосылки!$C$6+Z3)</f>
        <v>59.215221568646776</v>
      </c>
      <c r="AB3" s="8">
        <f ca="1">IF(AB$1=DATE(2026,1,1),Предпосылки!$C5,AA3*Предпосылки!$C$6+AA3)</f>
        <v>59.807373784333244</v>
      </c>
      <c r="AC3" s="8">
        <f ca="1">IF(AC$1=DATE(2026,1,1),Предпосылки!$C5,AB3*Предпосылки!$C$6+AB3)</f>
        <v>60.405447522176573</v>
      </c>
      <c r="AD3" s="8">
        <f ca="1">IF(AD$1=DATE(2026,1,1),Предпосылки!$C5,AC3*Предпосылки!$C$6+AC3)</f>
        <v>61.009501997398338</v>
      </c>
      <c r="AE3" s="8">
        <f ca="1">IF(AE$1=DATE(2026,1,1),Предпосылки!$C5,AD3*Предпосылки!$C$6+AD3)</f>
        <v>61.619597017372321</v>
      </c>
      <c r="AF3" s="8">
        <f ca="1">IF(AF$1=DATE(2026,1,1),Предпосылки!$C5,AE3*Предпосылки!$C$6+AE3)</f>
        <v>62.235792987546041</v>
      </c>
      <c r="AG3" s="8">
        <f ca="1">IF(AG$1=DATE(2026,1,1),Предпосылки!$C5,AF3*Предпосылки!$C$6+AF3)</f>
        <v>62.858150917421504</v>
      </c>
      <c r="AH3" s="8">
        <f ca="1">IF(AH$1=DATE(2026,1,1),Предпосылки!$C5,AG3*Предпосылки!$C$6+AG3)</f>
        <v>63.486732426595722</v>
      </c>
      <c r="AI3" s="8">
        <f ca="1">IF(AI$1=DATE(2026,1,1),Предпосылки!$C5,AH3*Предпосылки!$C$6+AH3)</f>
        <v>64.121599750861677</v>
      </c>
      <c r="AJ3" s="8">
        <f ca="1">IF(AJ$1=DATE(2026,1,1),Предпосылки!$C5,AI3*Предпосылки!$C$6+AI3)</f>
        <v>64.762815748370286</v>
      </c>
      <c r="AK3" s="8">
        <f ca="1">IF(AK$1=DATE(2026,1,1),Предпосылки!$C5,AJ3*Предпосылки!$C$6+AJ3)</f>
        <v>65.410443905853995</v>
      </c>
      <c r="AL3" s="8">
        <f ca="1">IF(AL$1=DATE(2026,1,1),Предпосылки!$C5,AK3*Предпосылки!$C$6+AK3)</f>
        <v>66.064548344912538</v>
      </c>
      <c r="AM3" s="8">
        <f ca="1">IF(AM$1=DATE(2026,1,1),Предпосылки!$C5,AL3*Предпосылки!$C$6+AL3)</f>
        <v>66.725193828361668</v>
      </c>
      <c r="AN3" s="8">
        <f ca="1">IF(AN$1=DATE(2026,1,1),Предпосылки!$C5,AM3*Предпосылки!$C$6+AM3)</f>
        <v>67.392445766645281</v>
      </c>
      <c r="AO3" s="8">
        <f ca="1">IF(AO$1=DATE(2026,1,1),Предпосылки!$C5,AN3*Предпосылки!$C$6+AN3)</f>
        <v>68.06637022431174</v>
      </c>
      <c r="AP3" s="8">
        <f ca="1">IF(AP$1=DATE(2026,1,1),Предпосылки!$C5,AO3*Предпосылки!$C$6+AO3)</f>
        <v>68.747033926554863</v>
      </c>
      <c r="AQ3" s="8">
        <f ca="1">IF(AQ$1=DATE(2026,1,1),Предпосылки!$C5,AP3*Предпосылки!$C$6+AP3)</f>
        <v>69.434504265820408</v>
      </c>
      <c r="AR3" s="8">
        <f ca="1">IF(AR$1=DATE(2026,1,1),Предпосылки!$C5,AQ3*Предпосылки!$C$6+AQ3)</f>
        <v>70.128849308478607</v>
      </c>
      <c r="AS3" s="8">
        <f ca="1">IF(AS$1=DATE(2026,1,1),Предпосылки!$C5,AR3*Предпосылки!$C$6+AR3)</f>
        <v>70.830137801563396</v>
      </c>
      <c r="AT3" s="8">
        <f ca="1">IF(AT$1=DATE(2026,1,1),Предпосылки!$C5,AS3*Предпосылки!$C$6+AS3)</f>
        <v>71.538439179579029</v>
      </c>
    </row>
    <row r="4" spans="2:47" x14ac:dyDescent="0.35">
      <c r="D4" s="29"/>
      <c r="E4" s="29"/>
      <c r="F4" s="29"/>
      <c r="G4" s="29"/>
      <c r="H4" s="29"/>
    </row>
    <row r="5" spans="2:47" x14ac:dyDescent="0.35">
      <c r="B5" t="s">
        <v>76</v>
      </c>
      <c r="D5" s="29"/>
      <c r="E5" s="29"/>
      <c r="F5" s="29"/>
      <c r="G5" s="29"/>
      <c r="H5" s="29"/>
      <c r="I5" s="31"/>
      <c r="J5" s="39">
        <f ca="1">OFFSET(Предпосылки!$C$9,MONTH(J$1),0)</f>
        <v>1</v>
      </c>
      <c r="K5" s="39">
        <f ca="1">OFFSET(Предпосылки!$C$9,MONTH(K$1),0)</f>
        <v>1</v>
      </c>
      <c r="L5" s="39">
        <f ca="1">OFFSET(Предпосылки!$C$9,MONTH(L$1),0)</f>
        <v>1</v>
      </c>
      <c r="M5" s="39">
        <f ca="1">OFFSET(Предпосылки!$C$9,MONTH(M$1),0)</f>
        <v>1</v>
      </c>
      <c r="N5" s="39">
        <f ca="1">OFFSET(Предпосылки!$C$9,MONTH(N$1),0)</f>
        <v>2</v>
      </c>
      <c r="O5" s="39">
        <f ca="1">OFFSET(Предпосылки!$C$9,MONTH(O$1),0)</f>
        <v>1</v>
      </c>
      <c r="P5" s="39">
        <f ca="1">OFFSET(Предпосылки!$C$9,MONTH(P$1),0)</f>
        <v>1</v>
      </c>
      <c r="Q5" s="39">
        <f ca="1">OFFSET(Предпосылки!$C$9,MONTH(Q$1),0)</f>
        <v>1.5</v>
      </c>
      <c r="R5" s="39">
        <f ca="1">OFFSET(Предпосылки!$C$9,MONTH(R$1),0)</f>
        <v>1</v>
      </c>
      <c r="S5" s="39">
        <f ca="1">OFFSET(Предпосылки!$C$9,MONTH(S$1),0)</f>
        <v>1</v>
      </c>
      <c r="T5" s="39">
        <f ca="1">OFFSET(Предпосылки!$C$9,MONTH(T$1),0)</f>
        <v>1</v>
      </c>
      <c r="U5" s="39">
        <f ca="1">OFFSET(Предпосылки!$C$9,MONTH(U$1),0)</f>
        <v>2</v>
      </c>
      <c r="V5" s="39">
        <f ca="1">OFFSET(Предпосылки!$C$9,MONTH(V$1),0)</f>
        <v>1</v>
      </c>
      <c r="W5" s="39">
        <f ca="1">OFFSET(Предпосылки!$C$9,MONTH(W$1),0)</f>
        <v>1</v>
      </c>
      <c r="X5" s="39">
        <f ca="1">OFFSET(Предпосылки!$C$9,MONTH(X$1),0)</f>
        <v>1</v>
      </c>
      <c r="Y5" s="39">
        <f ca="1">OFFSET(Предпосылки!$C$9,MONTH(Y$1),0)</f>
        <v>1</v>
      </c>
      <c r="Z5" s="39">
        <f ca="1">OFFSET(Предпосылки!$C$9,MONTH(Z$1),0)</f>
        <v>2</v>
      </c>
      <c r="AA5" s="39">
        <f ca="1">OFFSET(Предпосылки!$C$9,MONTH(AA$1),0)</f>
        <v>1</v>
      </c>
      <c r="AB5" s="39">
        <f ca="1">OFFSET(Предпосылки!$C$9,MONTH(AB$1),0)</f>
        <v>1</v>
      </c>
      <c r="AC5" s="39">
        <f ca="1">OFFSET(Предпосылки!$C$9,MONTH(AC$1),0)</f>
        <v>1.5</v>
      </c>
      <c r="AD5" s="39">
        <f ca="1">OFFSET(Предпосылки!$C$9,MONTH(AD$1),0)</f>
        <v>1</v>
      </c>
      <c r="AE5" s="39">
        <f ca="1">OFFSET(Предпосылки!$C$9,MONTH(AE$1),0)</f>
        <v>1</v>
      </c>
      <c r="AF5" s="39">
        <f ca="1">OFFSET(Предпосылки!$C$9,MONTH(AF$1),0)</f>
        <v>1</v>
      </c>
      <c r="AG5" s="39">
        <f ca="1">OFFSET(Предпосылки!$C$9,MONTH(AG$1),0)</f>
        <v>2</v>
      </c>
      <c r="AH5" s="39">
        <f ca="1">OFFSET(Предпосылки!$C$9,MONTH(AH$1),0)</f>
        <v>1</v>
      </c>
      <c r="AI5" s="39">
        <f ca="1">OFFSET(Предпосылки!$C$9,MONTH(AI$1),0)</f>
        <v>1</v>
      </c>
      <c r="AJ5" s="39">
        <f ca="1">OFFSET(Предпосылки!$C$9,MONTH(AJ$1),0)</f>
        <v>1</v>
      </c>
      <c r="AK5" s="39">
        <f ca="1">OFFSET(Предпосылки!$C$9,MONTH(AK$1),0)</f>
        <v>1</v>
      </c>
      <c r="AL5" s="39">
        <f ca="1">OFFSET(Предпосылки!$C$9,MONTH(AL$1),0)</f>
        <v>2</v>
      </c>
      <c r="AM5" s="39">
        <f ca="1">OFFSET(Предпосылки!$C$9,MONTH(AM$1),0)</f>
        <v>1</v>
      </c>
      <c r="AN5" s="39">
        <f ca="1">OFFSET(Предпосылки!$C$9,MONTH(AN$1),0)</f>
        <v>1</v>
      </c>
      <c r="AO5" s="39">
        <f ca="1">OFFSET(Предпосылки!$C$9,MONTH(AO$1),0)</f>
        <v>1.5</v>
      </c>
      <c r="AP5" s="39">
        <f ca="1">OFFSET(Предпосылки!$C$9,MONTH(AP$1),0)</f>
        <v>1</v>
      </c>
      <c r="AQ5" s="39">
        <f ca="1">OFFSET(Предпосылки!$C$9,MONTH(AQ$1),0)</f>
        <v>1</v>
      </c>
      <c r="AR5" s="39">
        <f ca="1">OFFSET(Предпосылки!$C$9,MONTH(AR$1),0)</f>
        <v>1</v>
      </c>
      <c r="AS5" s="39">
        <f ca="1">OFFSET(Предпосылки!$C$9,MONTH(AS$1),0)</f>
        <v>2</v>
      </c>
      <c r="AT5" s="39">
        <f ca="1">OFFSET(Предпосылки!$C$9,MONTH(AT$1),0)</f>
        <v>1</v>
      </c>
    </row>
    <row r="6" spans="2:47" x14ac:dyDescent="0.35">
      <c r="D6" s="29"/>
      <c r="E6" s="29"/>
      <c r="F6" s="29"/>
      <c r="G6" s="29"/>
      <c r="H6" s="29"/>
    </row>
    <row r="7" spans="2:47" s="17" customFormat="1" x14ac:dyDescent="0.35">
      <c r="B7" s="17" t="s">
        <v>77</v>
      </c>
      <c r="C7" s="17" t="s">
        <v>42</v>
      </c>
      <c r="D7" s="16"/>
      <c r="E7" s="16"/>
      <c r="F7" s="16"/>
      <c r="G7" s="16"/>
      <c r="H7" s="16"/>
      <c r="J7" s="19">
        <f t="shared" ref="J7:AT7" ca="1" si="0">J3*J5</f>
        <v>50</v>
      </c>
      <c r="K7" s="19">
        <f t="shared" ca="1" si="0"/>
        <v>50.5</v>
      </c>
      <c r="L7" s="19">
        <f t="shared" ca="1" si="0"/>
        <v>51.005000000000003</v>
      </c>
      <c r="M7" s="19">
        <f t="shared" ca="1" si="0"/>
        <v>51.515050000000002</v>
      </c>
      <c r="N7" s="19">
        <f t="shared" ca="1" si="0"/>
        <v>104.060401</v>
      </c>
      <c r="O7" s="19">
        <f t="shared" ca="1" si="0"/>
        <v>52.550502504999997</v>
      </c>
      <c r="P7" s="19">
        <f t="shared" ca="1" si="0"/>
        <v>53.076007530049999</v>
      </c>
      <c r="Q7" s="19">
        <f t="shared" ca="1" si="0"/>
        <v>80.41015140802574</v>
      </c>
      <c r="R7" s="19">
        <f t="shared" ca="1" si="0"/>
        <v>54.142835281404004</v>
      </c>
      <c r="S7" s="19">
        <f t="shared" ca="1" si="0"/>
        <v>54.684263634218041</v>
      </c>
      <c r="T7" s="19">
        <f t="shared" ca="1" si="0"/>
        <v>55.231106270560218</v>
      </c>
      <c r="U7" s="19">
        <f t="shared" ca="1" si="0"/>
        <v>111.56683466653165</v>
      </c>
      <c r="V7" s="19">
        <f t="shared" ca="1" si="0"/>
        <v>56.341251506598482</v>
      </c>
      <c r="W7" s="19">
        <f t="shared" ca="1" si="0"/>
        <v>56.904664021664466</v>
      </c>
      <c r="X7" s="19">
        <f t="shared" ca="1" si="0"/>
        <v>57.473710661881114</v>
      </c>
      <c r="Y7" s="19">
        <f t="shared" ca="1" si="0"/>
        <v>58.048447768499926</v>
      </c>
      <c r="Z7" s="19">
        <f t="shared" ca="1" si="0"/>
        <v>117.25786449236985</v>
      </c>
      <c r="AA7" s="19">
        <f t="shared" ca="1" si="0"/>
        <v>59.215221568646776</v>
      </c>
      <c r="AB7" s="19">
        <f t="shared" ca="1" si="0"/>
        <v>59.807373784333244</v>
      </c>
      <c r="AC7" s="19">
        <f t="shared" ca="1" si="0"/>
        <v>90.608171283264852</v>
      </c>
      <c r="AD7" s="19">
        <f t="shared" ca="1" si="0"/>
        <v>61.009501997398338</v>
      </c>
      <c r="AE7" s="19">
        <f t="shared" ca="1" si="0"/>
        <v>61.619597017372321</v>
      </c>
      <c r="AF7" s="19">
        <f t="shared" ca="1" si="0"/>
        <v>62.235792987546041</v>
      </c>
      <c r="AG7" s="19">
        <f t="shared" ca="1" si="0"/>
        <v>125.71630183484301</v>
      </c>
      <c r="AH7" s="19">
        <f t="shared" ca="1" si="0"/>
        <v>63.486732426595722</v>
      </c>
      <c r="AI7" s="19">
        <f t="shared" ca="1" si="0"/>
        <v>64.121599750861677</v>
      </c>
      <c r="AJ7" s="19">
        <f t="shared" ca="1" si="0"/>
        <v>64.762815748370286</v>
      </c>
      <c r="AK7" s="19">
        <f t="shared" ca="1" si="0"/>
        <v>65.410443905853995</v>
      </c>
      <c r="AL7" s="19">
        <f t="shared" ca="1" si="0"/>
        <v>132.12909668982508</v>
      </c>
      <c r="AM7" s="19">
        <f t="shared" ca="1" si="0"/>
        <v>66.725193828361668</v>
      </c>
      <c r="AN7" s="19">
        <f t="shared" ca="1" si="0"/>
        <v>67.392445766645281</v>
      </c>
      <c r="AO7" s="19">
        <f t="shared" ca="1" si="0"/>
        <v>102.0995553364676</v>
      </c>
      <c r="AP7" s="19">
        <f t="shared" ca="1" si="0"/>
        <v>68.747033926554863</v>
      </c>
      <c r="AQ7" s="19">
        <f t="shared" ca="1" si="0"/>
        <v>69.434504265820408</v>
      </c>
      <c r="AR7" s="19">
        <f t="shared" ca="1" si="0"/>
        <v>70.128849308478607</v>
      </c>
      <c r="AS7" s="19">
        <f t="shared" ca="1" si="0"/>
        <v>141.66027560312679</v>
      </c>
      <c r="AT7" s="19">
        <f t="shared" ca="1" si="0"/>
        <v>71.538439179579029</v>
      </c>
    </row>
    <row r="8" spans="2:47" x14ac:dyDescent="0.35">
      <c r="D8" s="29"/>
      <c r="E8" s="29"/>
      <c r="F8" s="29"/>
      <c r="G8" s="29"/>
      <c r="H8" s="29"/>
    </row>
    <row r="9" spans="2:47" x14ac:dyDescent="0.35">
      <c r="B9" t="s">
        <v>78</v>
      </c>
      <c r="C9" t="s">
        <v>14</v>
      </c>
      <c r="F9" s="29"/>
      <c r="G9" s="29"/>
      <c r="H9" s="29"/>
      <c r="J9" s="30">
        <f ca="1">IF(J$1=DATE(2026,1,1),Предпосылки!$C23,I9*Предпосылки!$C$24+I9)</f>
        <v>100</v>
      </c>
      <c r="K9" s="30">
        <f ca="1">IF(K$1=DATE(2026,1,1),Предпосылки!$C23,J9*Предпосылки!$C$24+J9)</f>
        <v>100.3</v>
      </c>
      <c r="L9" s="30">
        <f ca="1">IF(L$1=DATE(2026,1,1),Предпосылки!$C23,K9*Предпосылки!$C$24+K9)</f>
        <v>100.6009</v>
      </c>
      <c r="M9" s="30">
        <f ca="1">IF(M$1=DATE(2026,1,1),Предпосылки!$C23,L9*Предпосылки!$C$24+L9)</f>
        <v>100.90270269999999</v>
      </c>
      <c r="N9" s="30">
        <f ca="1">IF(N$1=DATE(2026,1,1),Предпосылки!$C23,M9*Предпосылки!$C$24+M9)</f>
        <v>101.2054108081</v>
      </c>
      <c r="O9" s="30">
        <f ca="1">IF(O$1=DATE(2026,1,1),Предпосылки!$C23,N9*Предпосылки!$C$24+N9)</f>
        <v>101.5090270405243</v>
      </c>
      <c r="P9" s="30">
        <f ca="1">IF(P$1=DATE(2026,1,1),Предпосылки!$C23,O9*Предпосылки!$C$24+O9)</f>
        <v>101.81355412164588</v>
      </c>
      <c r="Q9" s="30">
        <f ca="1">IF(Q$1=DATE(2026,1,1),Предпосылки!$C23,P9*Предпосылки!$C$24+P9)</f>
        <v>102.11899478401082</v>
      </c>
      <c r="R9" s="30">
        <f ca="1">IF(R$1=DATE(2026,1,1),Предпосылки!$C23,Q9*Предпосылки!$C$24+Q9)</f>
        <v>102.42535176836286</v>
      </c>
      <c r="S9" s="30">
        <f ca="1">IF(S$1=DATE(2026,1,1),Предпосылки!$C23,R9*Предпосылки!$C$24+R9)</f>
        <v>102.73262782366795</v>
      </c>
      <c r="T9" s="30">
        <f ca="1">IF(T$1=DATE(2026,1,1),Предпосылки!$C23,S9*Предпосылки!$C$24+S9)</f>
        <v>103.04082570713896</v>
      </c>
      <c r="U9" s="30">
        <f ca="1">IF(U$1=DATE(2026,1,1),Предпосылки!$C23,T9*Предпосылки!$C$24+T9)</f>
        <v>103.34994818426038</v>
      </c>
      <c r="V9" s="30">
        <f ca="1">IF(V$1=DATE(2026,1,1),Предпосылки!$C23,U9*Предпосылки!$C$24+U9)</f>
        <v>103.65999802881316</v>
      </c>
      <c r="W9" s="30">
        <f ca="1">IF(W$1=DATE(2026,1,1),Предпосылки!$C23,V9*Предпосылки!$C$24+V9)</f>
        <v>103.9709780228996</v>
      </c>
      <c r="X9" s="30">
        <f ca="1">IF(X$1=DATE(2026,1,1),Предпосылки!$C23,W9*Предпосылки!$C$24+W9)</f>
        <v>104.2828909569683</v>
      </c>
      <c r="Y9" s="30">
        <f ca="1">IF(Y$1=DATE(2026,1,1),Предпосылки!$C23,X9*Предпосылки!$C$24+X9)</f>
        <v>104.5957396298392</v>
      </c>
      <c r="Z9" s="30">
        <f ca="1">IF(Z$1=DATE(2026,1,1),Предпосылки!$C23,Y9*Предпосылки!$C$24+Y9)</f>
        <v>104.90952684872872</v>
      </c>
      <c r="AA9" s="30">
        <f ca="1">IF(AA$1=DATE(2026,1,1),Предпосылки!$C23,Z9*Предпосылки!$C$24+Z9)</f>
        <v>105.2242554292749</v>
      </c>
      <c r="AB9" s="30">
        <f ca="1">IF(AB$1=DATE(2026,1,1),Предпосылки!$C23,AA9*Предпосылки!$C$24+AA9)</f>
        <v>105.53992819556272</v>
      </c>
      <c r="AC9" s="30">
        <f ca="1">IF(AC$1=DATE(2026,1,1),Предпосылки!$C23,AB9*Предпосылки!$C$24+AB9)</f>
        <v>105.85654798014941</v>
      </c>
      <c r="AD9" s="30">
        <f ca="1">IF(AD$1=DATE(2026,1,1),Предпосылки!$C23,AC9*Предпосылки!$C$24+AC9)</f>
        <v>106.17411762408986</v>
      </c>
      <c r="AE9" s="30">
        <f ca="1">IF(AE$1=DATE(2026,1,1),Предпосылки!$C23,AD9*Предпосылки!$C$24+AD9)</f>
        <v>106.49263997696212</v>
      </c>
      <c r="AF9" s="30">
        <f ca="1">IF(AF$1=DATE(2026,1,1),Предпосылки!$C23,AE9*Предпосылки!$C$24+AE9)</f>
        <v>106.81211789689301</v>
      </c>
      <c r="AG9" s="30">
        <f ca="1">IF(AG$1=DATE(2026,1,1),Предпосылки!$C23,AF9*Предпосылки!$C$24+AF9)</f>
        <v>107.13255425058369</v>
      </c>
      <c r="AH9" s="30">
        <f ca="1">IF(AH$1=DATE(2026,1,1),Предпосылки!$C23,AG9*Предпосылки!$C$24+AG9)</f>
        <v>107.45395191333544</v>
      </c>
      <c r="AI9" s="30">
        <f ca="1">IF(AI$1=DATE(2026,1,1),Предпосылки!$C23,AH9*Предпосылки!$C$24+AH9)</f>
        <v>107.77631376907546</v>
      </c>
      <c r="AJ9" s="30">
        <f ca="1">IF(AJ$1=DATE(2026,1,1),Предпосылки!$C23,AI9*Предпосылки!$C$24+AI9)</f>
        <v>108.09964271038268</v>
      </c>
      <c r="AK9" s="30">
        <f ca="1">IF(AK$1=DATE(2026,1,1),Предпосылки!$C23,AJ9*Предпосылки!$C$24+AJ9)</f>
        <v>108.42394163851382</v>
      </c>
      <c r="AL9" s="30">
        <f ca="1">IF(AL$1=DATE(2026,1,1),Предпосылки!$C23,AK9*Предпосылки!$C$24+AK9)</f>
        <v>108.74921346342937</v>
      </c>
      <c r="AM9" s="30">
        <f ca="1">IF(AM$1=DATE(2026,1,1),Предпосылки!$C23,AL9*Предпосылки!$C$24+AL9)</f>
        <v>109.07546110381966</v>
      </c>
      <c r="AN9" s="30">
        <f ca="1">IF(AN$1=DATE(2026,1,1),Предпосылки!$C23,AM9*Предпосылки!$C$24+AM9)</f>
        <v>109.40268748713112</v>
      </c>
      <c r="AO9" s="30">
        <f ca="1">IF(AO$1=DATE(2026,1,1),Предпосылки!$C23,AN9*Предпосылки!$C$24+AN9)</f>
        <v>109.73089554959252</v>
      </c>
      <c r="AP9" s="30">
        <f ca="1">IF(AP$1=DATE(2026,1,1),Предпосылки!$C23,AO9*Предпосылки!$C$24+AO9)</f>
        <v>110.0600882362413</v>
      </c>
      <c r="AQ9" s="30">
        <f ca="1">IF(AQ$1=DATE(2026,1,1),Предпосылки!$C23,AP9*Предпосылки!$C$24+AP9)</f>
        <v>110.39026850095003</v>
      </c>
      <c r="AR9" s="30">
        <f ca="1">IF(AR$1=DATE(2026,1,1),Предпосылки!$C23,AQ9*Предпосылки!$C$24+AQ9)</f>
        <v>110.72143930645288</v>
      </c>
      <c r="AS9" s="30">
        <f ca="1">IF(AS$1=DATE(2026,1,1),Предпосылки!$C23,AR9*Предпосылки!$C$24+AR9)</f>
        <v>111.05360362437224</v>
      </c>
      <c r="AT9" s="30">
        <f ca="1">IF(AT$1=DATE(2026,1,1),Предпосылки!$C23,AS9*Предпосылки!$C$24+AS9)</f>
        <v>111.38676443524535</v>
      </c>
    </row>
    <row r="10" spans="2:47" x14ac:dyDescent="0.35">
      <c r="D10" s="29"/>
      <c r="E10" s="29"/>
      <c r="F10" s="29"/>
      <c r="G10" s="29"/>
      <c r="H10" s="29"/>
    </row>
    <row r="11" spans="2:47" x14ac:dyDescent="0.35">
      <c r="B11" t="s">
        <v>79</v>
      </c>
      <c r="C11" t="s">
        <v>14</v>
      </c>
      <c r="E11" s="29"/>
      <c r="F11" s="29"/>
      <c r="G11" s="29"/>
      <c r="H11" s="29"/>
      <c r="J11" s="13">
        <f ca="1">J9/(1+Предпосылки!$C$28)</f>
        <v>83.333333333333343</v>
      </c>
      <c r="K11" s="13">
        <f ca="1">K9/(1+Предпосылки!$C$28)</f>
        <v>83.583333333333329</v>
      </c>
      <c r="L11" s="13">
        <f ca="1">L9/(1+Предпосылки!$C$28)</f>
        <v>83.834083333333339</v>
      </c>
      <c r="M11" s="13">
        <f ca="1">M9/(1+Предпосылки!$C$28)</f>
        <v>84.085585583333327</v>
      </c>
      <c r="N11" s="13">
        <f ca="1">N9/(1+Предпосылки!$C$28)</f>
        <v>84.337842340083341</v>
      </c>
      <c r="O11" s="13">
        <f ca="1">O9/(1+Предпосылки!$C$28)</f>
        <v>84.590855867103585</v>
      </c>
      <c r="P11" s="13">
        <f ca="1">P9/(1+Предпосылки!$C$28)</f>
        <v>84.844628434704902</v>
      </c>
      <c r="Q11" s="13">
        <f ca="1">Q9/(1+Предпосылки!$C$28)</f>
        <v>85.099162320009029</v>
      </c>
      <c r="R11" s="13">
        <f ca="1">R9/(1+Предпосылки!$C$28)</f>
        <v>85.354459806969047</v>
      </c>
      <c r="S11" s="13">
        <f ca="1">S9/(1+Предпосылки!$C$28)</f>
        <v>85.610523186389969</v>
      </c>
      <c r="T11" s="13">
        <f ca="1">T9/(1+Предпосылки!$C$28)</f>
        <v>85.867354755949137</v>
      </c>
      <c r="U11" s="13">
        <f ca="1">U9/(1+Предпосылки!$C$28)</f>
        <v>86.124956820216994</v>
      </c>
      <c r="V11" s="13">
        <f ca="1">V9/(1+Предпосылки!$C$28)</f>
        <v>86.383331690677636</v>
      </c>
      <c r="W11" s="13">
        <f ca="1">W9/(1+Предпосылки!$C$28)</f>
        <v>86.642481685749672</v>
      </c>
      <c r="X11" s="13">
        <f ca="1">X9/(1+Предпосылки!$C$28)</f>
        <v>86.902409130806916</v>
      </c>
      <c r="Y11" s="13">
        <f ca="1">Y9/(1+Предпосылки!$C$28)</f>
        <v>87.163116358199332</v>
      </c>
      <c r="Z11" s="13">
        <f ca="1">Z9/(1+Предпосылки!$C$28)</f>
        <v>87.42460570727394</v>
      </c>
      <c r="AA11" s="13">
        <f ca="1">AA9/(1+Предпосылки!$C$28)</f>
        <v>87.686879524395763</v>
      </c>
      <c r="AB11" s="13">
        <f ca="1">AB9/(1+Предпосылки!$C$28)</f>
        <v>87.949940162968943</v>
      </c>
      <c r="AC11" s="13">
        <f ca="1">AC9/(1+Предпосылки!$C$28)</f>
        <v>88.213789983457843</v>
      </c>
      <c r="AD11" s="13">
        <f ca="1">AD9/(1+Предпосылки!$C$28)</f>
        <v>88.478431353408226</v>
      </c>
      <c r="AE11" s="13">
        <f ca="1">AE9/(1+Предпосылки!$C$28)</f>
        <v>88.743866647468437</v>
      </c>
      <c r="AF11" s="13">
        <f ca="1">AF9/(1+Предпосылки!$C$28)</f>
        <v>89.010098247410852</v>
      </c>
      <c r="AG11" s="13">
        <f ca="1">AG9/(1+Предпосылки!$C$28)</f>
        <v>89.277128542153079</v>
      </c>
      <c r="AH11" s="13">
        <f ca="1">AH9/(1+Предпосылки!$C$28)</f>
        <v>89.544959927779544</v>
      </c>
      <c r="AI11" s="13">
        <f ca="1">AI9/(1+Предпосылки!$C$28)</f>
        <v>89.813594807562879</v>
      </c>
      <c r="AJ11" s="13">
        <f ca="1">AJ9/(1+Предпосылки!$C$28)</f>
        <v>90.083035591985578</v>
      </c>
      <c r="AK11" s="13">
        <f ca="1">AK9/(1+Предпосылки!$C$28)</f>
        <v>90.353284698761527</v>
      </c>
      <c r="AL11" s="13">
        <f ca="1">AL9/(1+Предпосылки!$C$28)</f>
        <v>90.624344552857806</v>
      </c>
      <c r="AM11" s="13">
        <f ca="1">AM9/(1+Предпосылки!$C$28)</f>
        <v>90.896217586516386</v>
      </c>
      <c r="AN11" s="13">
        <f ca="1">AN9/(1+Предпосылки!$C$28)</f>
        <v>91.168906239275941</v>
      </c>
      <c r="AO11" s="13">
        <f ca="1">AO9/(1+Предпосылки!$C$28)</f>
        <v>91.442412957993767</v>
      </c>
      <c r="AP11" s="13">
        <f ca="1">AP9/(1+Предпосылки!$C$28)</f>
        <v>91.716740196867747</v>
      </c>
      <c r="AQ11" s="13">
        <f ca="1">AQ9/(1+Предпосылки!$C$28)</f>
        <v>91.991890417458364</v>
      </c>
      <c r="AR11" s="13">
        <f ca="1">AR9/(1+Предпосылки!$C$28)</f>
        <v>92.267866088710733</v>
      </c>
      <c r="AS11" s="13">
        <f ca="1">AS9/(1+Предпосылки!$C$28)</f>
        <v>92.544669686976874</v>
      </c>
      <c r="AT11" s="13">
        <f ca="1">AT9/(1+Предпосылки!$C$28)</f>
        <v>92.822303696037793</v>
      </c>
    </row>
    <row r="12" spans="2:47" x14ac:dyDescent="0.35">
      <c r="D12" s="29"/>
      <c r="E12" s="29"/>
      <c r="F12" s="29"/>
      <c r="G12" s="29"/>
      <c r="H12" s="29"/>
    </row>
    <row r="13" spans="2:47" x14ac:dyDescent="0.35">
      <c r="B13" t="s">
        <v>80</v>
      </c>
      <c r="D13" s="29"/>
      <c r="E13" s="29"/>
      <c r="F13" s="29"/>
      <c r="G13" s="29"/>
      <c r="H13" s="29"/>
      <c r="J13">
        <f t="shared" ref="J13:AT13" ca="1" si="1">J7*J9</f>
        <v>5000</v>
      </c>
      <c r="K13">
        <f t="shared" ca="1" si="1"/>
        <v>5065.1499999999996</v>
      </c>
      <c r="L13">
        <f t="shared" ca="1" si="1"/>
        <v>5131.1489044999998</v>
      </c>
      <c r="M13">
        <f t="shared" ca="1" si="1"/>
        <v>5198.0077747256346</v>
      </c>
      <c r="N13">
        <f t="shared" ca="1" si="1"/>
        <v>10531.475632060619</v>
      </c>
      <c r="O13">
        <f t="shared" ca="1" si="1"/>
        <v>5334.3503797731846</v>
      </c>
      <c r="P13">
        <f t="shared" ca="1" si="1"/>
        <v>5403.8569652216302</v>
      </c>
      <c r="Q13">
        <f t="shared" ca="1" si="1"/>
        <v>8211.4038322177003</v>
      </c>
      <c r="R13">
        <f t="shared" ca="1" si="1"/>
        <v>5545.598949434333</v>
      </c>
      <c r="S13">
        <f t="shared" ca="1" si="1"/>
        <v>5617.8581037454624</v>
      </c>
      <c r="T13">
        <f t="shared" ca="1" si="1"/>
        <v>5691.0587948372649</v>
      </c>
      <c r="U13">
        <f t="shared" ca="1" si="1"/>
        <v>11530.426581867991</v>
      </c>
      <c r="V13">
        <f t="shared" ca="1" si="1"/>
        <v>5840.3340201148649</v>
      </c>
      <c r="W13">
        <f t="shared" ca="1" si="1"/>
        <v>5916.4335723969616</v>
      </c>
      <c r="X13">
        <f t="shared" ca="1" si="1"/>
        <v>5993.5247018452947</v>
      </c>
      <c r="Y13">
        <f t="shared" ca="1" si="1"/>
        <v>6071.620328710339</v>
      </c>
      <c r="Z13">
        <f t="shared" ca="1" si="1"/>
        <v>12301.467083186868</v>
      </c>
      <c r="AA13">
        <f t="shared" ca="1" si="1"/>
        <v>6230.8775996403965</v>
      </c>
      <c r="AB13">
        <f t="shared" ca="1" si="1"/>
        <v>6312.0659347637111</v>
      </c>
      <c r="AC13">
        <f t="shared" ca="1" si="1"/>
        <v>9591.4682308405227</v>
      </c>
      <c r="AD13">
        <f t="shared" ca="1" si="1"/>
        <v>6477.6300412589162</v>
      </c>
      <c r="AE13">
        <f t="shared" ca="1" si="1"/>
        <v>6562.03356069652</v>
      </c>
      <c r="AF13">
        <f t="shared" ca="1" si="1"/>
        <v>6647.5368579923952</v>
      </c>
      <c r="AG13">
        <f t="shared" ca="1" si="1"/>
        <v>13468.308526504074</v>
      </c>
      <c r="AH13">
        <f t="shared" ca="1" si="1"/>
        <v>6821.9002933022111</v>
      </c>
      <c r="AI13">
        <f t="shared" ca="1" si="1"/>
        <v>6910.7896541239388</v>
      </c>
      <c r="AJ13">
        <f t="shared" ca="1" si="1"/>
        <v>7000.8372433171726</v>
      </c>
      <c r="AK13">
        <f t="shared" ca="1" si="1"/>
        <v>7092.0581525975958</v>
      </c>
      <c r="AL13">
        <f t="shared" ca="1" si="1"/>
        <v>14368.935340651886</v>
      </c>
      <c r="AM13">
        <f t="shared" ca="1" si="1"/>
        <v>7278.0812840702911</v>
      </c>
      <c r="AN13">
        <f t="shared" ca="1" si="1"/>
        <v>7372.9146832017259</v>
      </c>
      <c r="AO13">
        <f t="shared" ca="1" si="1"/>
        <v>11203.475642285768</v>
      </c>
      <c r="AP13">
        <f t="shared" ca="1" si="1"/>
        <v>7566.3046199365026</v>
      </c>
      <c r="AQ13">
        <f t="shared" ca="1" si="1"/>
        <v>7664.8935691342749</v>
      </c>
      <c r="AR13">
        <f t="shared" ca="1" si="1"/>
        <v>7764.7671323400937</v>
      </c>
      <c r="AS13">
        <f t="shared" ca="1" si="1"/>
        <v>15731.884096148973</v>
      </c>
      <c r="AT13">
        <f t="shared" ca="1" si="1"/>
        <v>7968.4352729608963</v>
      </c>
    </row>
    <row r="14" spans="2:47" x14ac:dyDescent="0.35">
      <c r="D14" s="29"/>
      <c r="E14" s="29"/>
      <c r="F14" s="29"/>
      <c r="G14" s="29"/>
      <c r="H14" s="29"/>
    </row>
    <row r="15" spans="2:47" s="17" customFormat="1" x14ac:dyDescent="0.35">
      <c r="B15" s="18" t="s">
        <v>81</v>
      </c>
      <c r="C15" s="17" t="s">
        <v>14</v>
      </c>
      <c r="D15" s="16"/>
      <c r="E15" s="16"/>
      <c r="F15" s="16"/>
      <c r="G15" s="16"/>
      <c r="H15" s="16"/>
      <c r="J15" s="17">
        <f t="shared" ref="J15:AT15" ca="1" si="2">J7*J11</f>
        <v>4166.666666666667</v>
      </c>
      <c r="K15" s="17">
        <f t="shared" ca="1" si="2"/>
        <v>4220.958333333333</v>
      </c>
      <c r="L15" s="17">
        <f t="shared" ca="1" si="2"/>
        <v>4275.9574204166674</v>
      </c>
      <c r="M15" s="17">
        <f t="shared" ca="1" si="2"/>
        <v>4331.6731456046955</v>
      </c>
      <c r="N15" s="17">
        <f t="shared" ca="1" si="2"/>
        <v>8776.2296933838516</v>
      </c>
      <c r="O15" s="17">
        <f t="shared" ca="1" si="2"/>
        <v>4445.2919831443205</v>
      </c>
      <c r="P15" s="17">
        <f t="shared" ca="1" si="2"/>
        <v>4503.2141376846912</v>
      </c>
      <c r="Q15" s="17">
        <f t="shared" ca="1" si="2"/>
        <v>6842.8365268480848</v>
      </c>
      <c r="R15" s="17">
        <f t="shared" ca="1" si="2"/>
        <v>4621.332457861944</v>
      </c>
      <c r="S15" s="17">
        <f t="shared" ca="1" si="2"/>
        <v>4681.548419787885</v>
      </c>
      <c r="T15" s="17">
        <f t="shared" ca="1" si="2"/>
        <v>4742.5489956977208</v>
      </c>
      <c r="U15" s="17">
        <f t="shared" ca="1" si="2"/>
        <v>9608.688818223327</v>
      </c>
      <c r="V15" s="17">
        <f t="shared" ca="1" si="2"/>
        <v>4866.9450167623881</v>
      </c>
      <c r="W15" s="17">
        <f t="shared" ca="1" si="2"/>
        <v>4930.3613103308016</v>
      </c>
      <c r="X15" s="17">
        <f t="shared" ca="1" si="2"/>
        <v>4994.6039182044124</v>
      </c>
      <c r="Y15" s="17">
        <f t="shared" ca="1" si="2"/>
        <v>5059.6836072586157</v>
      </c>
      <c r="Z15" s="17">
        <f t="shared" ca="1" si="2"/>
        <v>10251.222569322392</v>
      </c>
      <c r="AA15" s="17">
        <f t="shared" ca="1" si="2"/>
        <v>5192.3979997003316</v>
      </c>
      <c r="AB15" s="17">
        <f t="shared" ca="1" si="2"/>
        <v>5260.0549456364261</v>
      </c>
      <c r="AC15" s="17">
        <f t="shared" ca="1" si="2"/>
        <v>7992.8901923671019</v>
      </c>
      <c r="AD15" s="17">
        <f t="shared" ca="1" si="2"/>
        <v>5398.0250343824309</v>
      </c>
      <c r="AE15" s="17">
        <f t="shared" ca="1" si="2"/>
        <v>5468.3613005804327</v>
      </c>
      <c r="AF15" s="17">
        <f t="shared" ca="1" si="2"/>
        <v>5539.6140483269965</v>
      </c>
      <c r="AG15" s="17">
        <f t="shared" ca="1" si="2"/>
        <v>11223.590438753394</v>
      </c>
      <c r="AH15" s="17">
        <f t="shared" ca="1" si="2"/>
        <v>5684.9169110851763</v>
      </c>
      <c r="AI15" s="17">
        <f t="shared" ca="1" si="2"/>
        <v>5758.9913784366154</v>
      </c>
      <c r="AJ15" s="17">
        <f t="shared" ca="1" si="2"/>
        <v>5834.0310360976446</v>
      </c>
      <c r="AK15" s="17">
        <f t="shared" ca="1" si="2"/>
        <v>5910.0484604979965</v>
      </c>
      <c r="AL15" s="17">
        <f t="shared" ca="1" si="2"/>
        <v>11974.112783876571</v>
      </c>
      <c r="AM15" s="17">
        <f t="shared" ca="1" si="2"/>
        <v>6065.0677367252429</v>
      </c>
      <c r="AN15" s="17">
        <f t="shared" ca="1" si="2"/>
        <v>6144.0955693347723</v>
      </c>
      <c r="AO15" s="17">
        <f t="shared" ca="1" si="2"/>
        <v>9336.2297019048074</v>
      </c>
      <c r="AP15" s="17">
        <f t="shared" ca="1" si="2"/>
        <v>6305.2538499470847</v>
      </c>
      <c r="AQ15" s="17">
        <f t="shared" ca="1" si="2"/>
        <v>6387.4113076118965</v>
      </c>
      <c r="AR15" s="17">
        <f t="shared" ca="1" si="2"/>
        <v>6470.6392769500781</v>
      </c>
      <c r="AS15" s="17">
        <f t="shared" ca="1" si="2"/>
        <v>13109.903413457478</v>
      </c>
      <c r="AT15" s="17">
        <f t="shared" ca="1" si="2"/>
        <v>6640.3627274674136</v>
      </c>
    </row>
    <row r="16" spans="2:47" x14ac:dyDescent="0.35">
      <c r="D16" s="29"/>
      <c r="E16" s="29"/>
      <c r="F16" s="29"/>
      <c r="G16" s="29"/>
      <c r="H16" s="29"/>
    </row>
    <row r="17" spans="2:46" s="1" customFormat="1" ht="15" customHeight="1" thickBot="1" x14ac:dyDescent="0.4">
      <c r="B17" s="1" t="s">
        <v>82</v>
      </c>
      <c r="C17" s="1" t="s">
        <v>14</v>
      </c>
      <c r="D17" s="2"/>
      <c r="E17" s="2"/>
      <c r="F17" s="2"/>
      <c r="G17" s="2"/>
      <c r="H17" s="2"/>
    </row>
    <row r="18" spans="2:46" x14ac:dyDescent="0.35">
      <c r="B18" t="s">
        <v>83</v>
      </c>
      <c r="E18" s="29"/>
      <c r="F18" s="29"/>
      <c r="G18" s="29"/>
      <c r="H18" s="29"/>
      <c r="J18" s="30">
        <f ca="1">J15*Предпосылки!$C$7</f>
        <v>208.33333333333337</v>
      </c>
      <c r="K18" s="30">
        <f ca="1">K15*Предпосылки!$C$7</f>
        <v>211.04791666666665</v>
      </c>
      <c r="L18" s="30">
        <f ca="1">L15*Предпосылки!$C$7</f>
        <v>213.79787102083338</v>
      </c>
      <c r="M18" s="30">
        <f ca="1">M15*Предпосылки!$C$7</f>
        <v>216.58365728023477</v>
      </c>
      <c r="N18" s="30">
        <f ca="1">N15*Предпосылки!$C$7</f>
        <v>438.81148466919262</v>
      </c>
      <c r="O18" s="30">
        <f ca="1">O15*Предпосылки!$C$7</f>
        <v>222.26459915721603</v>
      </c>
      <c r="P18" s="30">
        <f ca="1">P15*Предпосылки!$C$7</f>
        <v>225.16070688423457</v>
      </c>
      <c r="Q18" s="30">
        <f ca="1">Q15*Предпосылки!$C$7</f>
        <v>342.14182634240427</v>
      </c>
      <c r="R18" s="30">
        <f ca="1">R15*Предпосылки!$C$7</f>
        <v>231.06662289309722</v>
      </c>
      <c r="S18" s="30">
        <f ca="1">S15*Предпосылки!$C$7</f>
        <v>234.07742098939426</v>
      </c>
      <c r="T18" s="30">
        <f ca="1">T15*Предпосылки!$C$7</f>
        <v>237.12744978488604</v>
      </c>
      <c r="U18" s="30">
        <f ca="1">U15*Предпосылки!$C$7</f>
        <v>480.43444091116635</v>
      </c>
      <c r="V18" s="30">
        <f ca="1">V15*Предпосылки!$C$7</f>
        <v>243.34725083811941</v>
      </c>
      <c r="W18" s="30">
        <f ca="1">W15*Предпосылки!$C$7</f>
        <v>246.5180655165401</v>
      </c>
      <c r="X18" s="30">
        <f ca="1">X15*Предпосылки!$C$7</f>
        <v>249.73019591022063</v>
      </c>
      <c r="Y18" s="30">
        <f ca="1">Y15*Предпосылки!$C$7</f>
        <v>252.9841803629308</v>
      </c>
      <c r="Z18" s="30">
        <f ca="1">Z15*Предпосылки!$C$7</f>
        <v>512.56112846611961</v>
      </c>
      <c r="AA18" s="30">
        <f ca="1">AA15*Предпосылки!$C$7</f>
        <v>259.61989998501662</v>
      </c>
      <c r="AB18" s="30">
        <f ca="1">AB15*Предпосылки!$C$7</f>
        <v>263.00274728182131</v>
      </c>
      <c r="AC18" s="30">
        <f ca="1">AC15*Предпосылки!$C$7</f>
        <v>399.64450961835513</v>
      </c>
      <c r="AD18" s="30">
        <f ca="1">AD15*Предпосылки!$C$7</f>
        <v>269.90125171912155</v>
      </c>
      <c r="AE18" s="30">
        <f ca="1">AE15*Предпосылки!$C$7</f>
        <v>273.41806502902165</v>
      </c>
      <c r="AF18" s="30">
        <f ca="1">AF15*Предпосылки!$C$7</f>
        <v>276.98070241634986</v>
      </c>
      <c r="AG18" s="30">
        <f ca="1">AG15*Предпосылки!$C$7</f>
        <v>561.17952193766973</v>
      </c>
      <c r="AH18" s="30">
        <f ca="1">AH15*Предпосылки!$C$7</f>
        <v>284.24584555425884</v>
      </c>
      <c r="AI18" s="30">
        <f ca="1">AI15*Предпосылки!$C$7</f>
        <v>287.9495689218308</v>
      </c>
      <c r="AJ18" s="30">
        <f ca="1">AJ15*Предпосылки!$C$7</f>
        <v>291.70155180488223</v>
      </c>
      <c r="AK18" s="30">
        <f ca="1">AK15*Предпосылки!$C$7</f>
        <v>295.50242302489983</v>
      </c>
      <c r="AL18" s="30">
        <f ca="1">AL15*Предпосылки!$C$7</f>
        <v>598.70563919382857</v>
      </c>
      <c r="AM18" s="30">
        <f ca="1">AM15*Предпосылки!$C$7</f>
        <v>303.25338683626217</v>
      </c>
      <c r="AN18" s="30">
        <f ca="1">AN15*Предпосылки!$C$7</f>
        <v>307.20477846673862</v>
      </c>
      <c r="AO18" s="30">
        <f ca="1">AO15*Предпосылки!$C$7</f>
        <v>466.81148509524041</v>
      </c>
      <c r="AP18" s="30">
        <f ca="1">AP15*Предпосылки!$C$7</f>
        <v>315.26269249735424</v>
      </c>
      <c r="AQ18" s="30">
        <f ca="1">AQ15*Предпосылки!$C$7</f>
        <v>319.37056538059483</v>
      </c>
      <c r="AR18" s="30">
        <f ca="1">AR15*Предпосылки!$C$7</f>
        <v>323.5319638475039</v>
      </c>
      <c r="AS18" s="30">
        <f ca="1">AS15*Предпосылки!$C$7</f>
        <v>655.49517067287388</v>
      </c>
      <c r="AT18" s="30">
        <f ca="1">AT15*Предпосылки!$C$7</f>
        <v>332.01813637337068</v>
      </c>
    </row>
    <row r="19" spans="2:46" x14ac:dyDescent="0.35">
      <c r="B19" s="26" t="s">
        <v>24</v>
      </c>
      <c r="D19" s="29"/>
      <c r="E19" s="29"/>
      <c r="F19" s="29"/>
      <c r="G19" s="29"/>
      <c r="H19" s="29"/>
      <c r="J19" s="27">
        <f t="shared" ref="J19:AT19" ca="1" si="3">SUM(J20:J24)</f>
        <v>-69.390625</v>
      </c>
      <c r="K19" s="27">
        <f t="shared" ca="1" si="3"/>
        <v>-70.084531249999998</v>
      </c>
      <c r="L19" s="27">
        <f t="shared" ca="1" si="3"/>
        <v>-70.785376562499991</v>
      </c>
      <c r="M19" s="27">
        <f t="shared" ca="1" si="3"/>
        <v>-71.493230328124994</v>
      </c>
      <c r="N19" s="27">
        <f t="shared" ca="1" si="3"/>
        <v>-144.41632526281253</v>
      </c>
      <c r="O19" s="27">
        <f t="shared" ca="1" si="3"/>
        <v>-72.930244257720318</v>
      </c>
      <c r="P19" s="27">
        <f t="shared" ca="1" si="3"/>
        <v>-73.659546700297511</v>
      </c>
      <c r="Q19" s="27">
        <f t="shared" ca="1" si="3"/>
        <v>-111.59421325095072</v>
      </c>
      <c r="R19" s="27">
        <f t="shared" ca="1" si="3"/>
        <v>-75.140103588973474</v>
      </c>
      <c r="S19" s="27">
        <f t="shared" ca="1" si="3"/>
        <v>-75.891504624863245</v>
      </c>
      <c r="T19" s="27">
        <f t="shared" ca="1" si="3"/>
        <v>-76.650419671111848</v>
      </c>
      <c r="U19" s="27">
        <f t="shared" ca="1" si="3"/>
        <v>-154.83384773564592</v>
      </c>
      <c r="V19" s="27">
        <f t="shared" ca="1" si="3"/>
        <v>-82.086562448949593</v>
      </c>
      <c r="W19" s="27">
        <f t="shared" ca="1" si="3"/>
        <v>-82.907428073439092</v>
      </c>
      <c r="X19" s="27">
        <f t="shared" ca="1" si="3"/>
        <v>-83.736502354173496</v>
      </c>
      <c r="Y19" s="27">
        <f t="shared" ca="1" si="3"/>
        <v>-84.573867377715217</v>
      </c>
      <c r="Z19" s="27">
        <f t="shared" ca="1" si="3"/>
        <v>-170.83921210298473</v>
      </c>
      <c r="AA19" s="27">
        <f t="shared" ca="1" si="3"/>
        <v>-86.273802112007289</v>
      </c>
      <c r="AB19" s="27">
        <f t="shared" ca="1" si="3"/>
        <v>-87.136540133127383</v>
      </c>
      <c r="AC19" s="27">
        <f t="shared" ca="1" si="3"/>
        <v>-132.01185830168799</v>
      </c>
      <c r="AD19" s="27">
        <f t="shared" ca="1" si="3"/>
        <v>-88.887984589803239</v>
      </c>
      <c r="AE19" s="27">
        <f t="shared" ca="1" si="3"/>
        <v>-89.776864435701285</v>
      </c>
      <c r="AF19" s="27">
        <f t="shared" ca="1" si="3"/>
        <v>-90.674633080058285</v>
      </c>
      <c r="AG19" s="27">
        <f t="shared" ca="1" si="3"/>
        <v>-183.16275882171777</v>
      </c>
      <c r="AH19" s="27">
        <f t="shared" ca="1" si="3"/>
        <v>-97.106181182109168</v>
      </c>
      <c r="AI19" s="27">
        <f t="shared" ca="1" si="3"/>
        <v>-98.07724299393027</v>
      </c>
      <c r="AJ19" s="27">
        <f t="shared" ca="1" si="3"/>
        <v>-99.058015423869591</v>
      </c>
      <c r="AK19" s="27">
        <f t="shared" ca="1" si="3"/>
        <v>-100.04859557810828</v>
      </c>
      <c r="AL19" s="27">
        <f t="shared" ca="1" si="3"/>
        <v>-202.09816306777873</v>
      </c>
      <c r="AM19" s="27">
        <f t="shared" ca="1" si="3"/>
        <v>-102.05957234922828</v>
      </c>
      <c r="AN19" s="27">
        <f t="shared" ca="1" si="3"/>
        <v>-103.08016807272053</v>
      </c>
      <c r="AO19" s="27">
        <f t="shared" ca="1" si="3"/>
        <v>-156.16645463017159</v>
      </c>
      <c r="AP19" s="27">
        <f t="shared" ca="1" si="3"/>
        <v>-105.15207945098221</v>
      </c>
      <c r="AQ19" s="27">
        <f t="shared" ca="1" si="3"/>
        <v>-106.20360024549207</v>
      </c>
      <c r="AR19" s="27">
        <f t="shared" ca="1" si="3"/>
        <v>-107.26563624794697</v>
      </c>
      <c r="AS19" s="27">
        <f t="shared" ca="1" si="3"/>
        <v>-216.6765852208529</v>
      </c>
      <c r="AT19" s="27">
        <f t="shared" ca="1" si="3"/>
        <v>-114.87487470356237</v>
      </c>
    </row>
    <row r="20" spans="2:46" outlineLevel="1" x14ac:dyDescent="0.35">
      <c r="B20" s="10" t="str">
        <f>B54</f>
        <v>Расходы на печать флаеров без учета НДС</v>
      </c>
      <c r="D20" s="29"/>
      <c r="E20" s="29"/>
      <c r="F20" s="29"/>
      <c r="G20" s="29"/>
      <c r="H20" s="29"/>
      <c r="J20" s="30">
        <f t="shared" ref="J20:AT20" ca="1" si="4">-J54</f>
        <v>-39.0625</v>
      </c>
      <c r="K20" s="30">
        <f t="shared" ca="1" si="4"/>
        <v>-39.453125</v>
      </c>
      <c r="L20" s="30">
        <f t="shared" ca="1" si="4"/>
        <v>-39.84765625</v>
      </c>
      <c r="M20" s="30">
        <f t="shared" ca="1" si="4"/>
        <v>-40.246132812499994</v>
      </c>
      <c r="N20" s="30">
        <f t="shared" ca="1" si="4"/>
        <v>-81.297188281250001</v>
      </c>
      <c r="O20" s="30">
        <f t="shared" ca="1" si="4"/>
        <v>-41.055080082031246</v>
      </c>
      <c r="P20" s="30">
        <f t="shared" ca="1" si="4"/>
        <v>-41.465630882851556</v>
      </c>
      <c r="Q20" s="30">
        <f t="shared" ca="1" si="4"/>
        <v>-62.820430787520102</v>
      </c>
      <c r="R20" s="30">
        <f t="shared" ca="1" si="4"/>
        <v>-42.299090063596871</v>
      </c>
      <c r="S20" s="30">
        <f t="shared" ca="1" si="4"/>
        <v>-42.722080964232845</v>
      </c>
      <c r="T20" s="30">
        <f t="shared" ca="1" si="4"/>
        <v>-43.149301773875166</v>
      </c>
      <c r="U20" s="30">
        <f t="shared" ca="1" si="4"/>
        <v>-87.161589583227837</v>
      </c>
      <c r="V20" s="30">
        <f t="shared" ca="1" si="4"/>
        <v>-46.217432876506557</v>
      </c>
      <c r="W20" s="30">
        <f t="shared" ca="1" si="4"/>
        <v>-46.679607205271616</v>
      </c>
      <c r="X20" s="30">
        <f t="shared" ca="1" si="4"/>
        <v>-47.146403277324353</v>
      </c>
      <c r="Y20" s="30">
        <f t="shared" ca="1" si="4"/>
        <v>-47.617867310097587</v>
      </c>
      <c r="Z20" s="30">
        <f t="shared" ca="1" si="4"/>
        <v>-96.188091966397124</v>
      </c>
      <c r="AA20" s="30">
        <f t="shared" ca="1" si="4"/>
        <v>-48.574986443030546</v>
      </c>
      <c r="AB20" s="30">
        <f t="shared" ca="1" si="4"/>
        <v>-49.060736307460857</v>
      </c>
      <c r="AC20" s="30">
        <f t="shared" ca="1" si="4"/>
        <v>-74.327015505803175</v>
      </c>
      <c r="AD20" s="30">
        <f t="shared" ca="1" si="4"/>
        <v>-50.046857107240818</v>
      </c>
      <c r="AE20" s="30">
        <f t="shared" ca="1" si="4"/>
        <v>-50.547325678313221</v>
      </c>
      <c r="AF20" s="30">
        <f t="shared" ca="1" si="4"/>
        <v>-51.052798935096355</v>
      </c>
      <c r="AG20" s="30">
        <f t="shared" ca="1" si="4"/>
        <v>-103.12665384889465</v>
      </c>
      <c r="AH20" s="30">
        <f t="shared" ca="1" si="4"/>
        <v>-54.682908203376385</v>
      </c>
      <c r="AI20" s="30">
        <f t="shared" ca="1" si="4"/>
        <v>-55.229737285410145</v>
      </c>
      <c r="AJ20" s="30">
        <f t="shared" ca="1" si="4"/>
        <v>-55.782034658264244</v>
      </c>
      <c r="AK20" s="30">
        <f t="shared" ca="1" si="4"/>
        <v>-56.339855004846896</v>
      </c>
      <c r="AL20" s="30">
        <f t="shared" ca="1" si="4"/>
        <v>-113.80650710979073</v>
      </c>
      <c r="AM20" s="30">
        <f t="shared" ca="1" si="4"/>
        <v>-57.472286090444321</v>
      </c>
      <c r="AN20" s="30">
        <f t="shared" ca="1" si="4"/>
        <v>-58.047008951348765</v>
      </c>
      <c r="AO20" s="30">
        <f t="shared" ca="1" si="4"/>
        <v>-87.941218561293368</v>
      </c>
      <c r="AP20" s="30">
        <f t="shared" ca="1" si="4"/>
        <v>-59.213753831270878</v>
      </c>
      <c r="AQ20" s="30">
        <f t="shared" ca="1" si="4"/>
        <v>-59.805891369583591</v>
      </c>
      <c r="AR20" s="30">
        <f t="shared" ca="1" si="4"/>
        <v>-60.403950283279421</v>
      </c>
      <c r="AS20" s="30">
        <f t="shared" ca="1" si="4"/>
        <v>-122.01597957222444</v>
      </c>
      <c r="AT20" s="30">
        <f t="shared" ca="1" si="4"/>
        <v>-64.698973168172017</v>
      </c>
    </row>
    <row r="21" spans="2:46" outlineLevel="1" x14ac:dyDescent="0.35">
      <c r="B21" s="10" t="str">
        <f>B59</f>
        <v>Расходы на распространение флаеров</v>
      </c>
      <c r="D21" s="29"/>
      <c r="E21" s="29"/>
      <c r="F21" s="29"/>
      <c r="G21" s="29"/>
      <c r="H21" s="29"/>
      <c r="J21" s="30">
        <f t="shared" ref="J21:AT21" ca="1" si="5">-J59</f>
        <v>-25</v>
      </c>
      <c r="K21" s="30">
        <f t="shared" ca="1" si="5"/>
        <v>-25.25</v>
      </c>
      <c r="L21" s="30">
        <f t="shared" ca="1" si="5"/>
        <v>-25.502500000000001</v>
      </c>
      <c r="M21" s="30">
        <f t="shared" ca="1" si="5"/>
        <v>-25.757524999999994</v>
      </c>
      <c r="N21" s="30">
        <f t="shared" ca="1" si="5"/>
        <v>-52.030200500000007</v>
      </c>
      <c r="O21" s="30">
        <f t="shared" ca="1" si="5"/>
        <v>-26.275251252499999</v>
      </c>
      <c r="P21" s="30">
        <f t="shared" ca="1" si="5"/>
        <v>-26.538003765025</v>
      </c>
      <c r="Q21" s="30">
        <f t="shared" ca="1" si="5"/>
        <v>-40.205075704012877</v>
      </c>
      <c r="R21" s="30">
        <f t="shared" ca="1" si="5"/>
        <v>-27.071417640701998</v>
      </c>
      <c r="S21" s="30">
        <f t="shared" ca="1" si="5"/>
        <v>-27.342131817109024</v>
      </c>
      <c r="T21" s="30">
        <f t="shared" ca="1" si="5"/>
        <v>-27.615553135280109</v>
      </c>
      <c r="U21" s="30">
        <f t="shared" ca="1" si="5"/>
        <v>-55.783417333265817</v>
      </c>
      <c r="V21" s="30">
        <f t="shared" ca="1" si="5"/>
        <v>-29.579157040964198</v>
      </c>
      <c r="W21" s="30">
        <f t="shared" ca="1" si="5"/>
        <v>-29.874948611373839</v>
      </c>
      <c r="X21" s="30">
        <f t="shared" ca="1" si="5"/>
        <v>-30.173698097487588</v>
      </c>
      <c r="Y21" s="30">
        <f t="shared" ca="1" si="5"/>
        <v>-30.475435078462453</v>
      </c>
      <c r="Z21" s="30">
        <f t="shared" ca="1" si="5"/>
        <v>-61.560378858494175</v>
      </c>
      <c r="AA21" s="30">
        <f t="shared" ca="1" si="5"/>
        <v>-31.087991323539551</v>
      </c>
      <c r="AB21" s="30">
        <f t="shared" ca="1" si="5"/>
        <v>-31.398871236774951</v>
      </c>
      <c r="AC21" s="30">
        <f t="shared" ca="1" si="5"/>
        <v>-47.569289923714038</v>
      </c>
      <c r="AD21" s="30">
        <f t="shared" ca="1" si="5"/>
        <v>-32.02998854863413</v>
      </c>
      <c r="AE21" s="30">
        <f t="shared" ca="1" si="5"/>
        <v>-32.350288434120465</v>
      </c>
      <c r="AF21" s="30">
        <f t="shared" ca="1" si="5"/>
        <v>-32.673791318461667</v>
      </c>
      <c r="AG21" s="30">
        <f t="shared" ca="1" si="5"/>
        <v>-66.001058463292594</v>
      </c>
      <c r="AH21" s="30">
        <f t="shared" ca="1" si="5"/>
        <v>-34.99706125016089</v>
      </c>
      <c r="AI21" s="30">
        <f t="shared" ca="1" si="5"/>
        <v>-35.347031862662504</v>
      </c>
      <c r="AJ21" s="30">
        <f t="shared" ca="1" si="5"/>
        <v>-35.700502181289124</v>
      </c>
      <c r="AK21" s="30">
        <f t="shared" ca="1" si="5"/>
        <v>-36.05750720310202</v>
      </c>
      <c r="AL21" s="30">
        <f t="shared" ca="1" si="5"/>
        <v>-72.836164550266062</v>
      </c>
      <c r="AM21" s="30">
        <f t="shared" ca="1" si="5"/>
        <v>-36.782263097884368</v>
      </c>
      <c r="AN21" s="30">
        <f t="shared" ca="1" si="5"/>
        <v>-37.15008572886321</v>
      </c>
      <c r="AO21" s="30">
        <f t="shared" ca="1" si="5"/>
        <v>-56.282379879227769</v>
      </c>
      <c r="AP21" s="30">
        <f t="shared" ca="1" si="5"/>
        <v>-37.896802452013368</v>
      </c>
      <c r="AQ21" s="30">
        <f t="shared" ca="1" si="5"/>
        <v>-38.275770476533509</v>
      </c>
      <c r="AR21" s="30">
        <f t="shared" ca="1" si="5"/>
        <v>-38.658528181298834</v>
      </c>
      <c r="AS21" s="30">
        <f t="shared" ca="1" si="5"/>
        <v>-78.09022692622365</v>
      </c>
      <c r="AT21" s="30">
        <f t="shared" ca="1" si="5"/>
        <v>-41.407342827630089</v>
      </c>
    </row>
    <row r="22" spans="2:46" outlineLevel="1" x14ac:dyDescent="0.35">
      <c r="B22" s="10" t="str">
        <f>B70</f>
        <v>Расходы на звонки без учета НДС</v>
      </c>
      <c r="D22" s="29"/>
      <c r="E22" s="29"/>
      <c r="F22" s="29"/>
      <c r="G22" s="29"/>
      <c r="H22" s="29"/>
      <c r="J22" s="30">
        <f t="shared" ref="J22:AT22" ca="1" si="6">-J70</f>
        <v>-5.0781250000000009</v>
      </c>
      <c r="K22" s="30">
        <f t="shared" ca="1" si="6"/>
        <v>-5.1289062500000009</v>
      </c>
      <c r="L22" s="30">
        <f t="shared" ca="1" si="6"/>
        <v>-5.1801953125000013</v>
      </c>
      <c r="M22" s="30">
        <f t="shared" ca="1" si="6"/>
        <v>-5.231997265625</v>
      </c>
      <c r="N22" s="30">
        <f t="shared" ca="1" si="6"/>
        <v>-10.568634476562501</v>
      </c>
      <c r="O22" s="30">
        <f t="shared" ca="1" si="6"/>
        <v>-5.3371604106640635</v>
      </c>
      <c r="P22" s="30">
        <f t="shared" ca="1" si="6"/>
        <v>-5.3905320147707032</v>
      </c>
      <c r="Q22" s="30">
        <f t="shared" ca="1" si="6"/>
        <v>-8.166656002377616</v>
      </c>
      <c r="R22" s="30">
        <f t="shared" ca="1" si="6"/>
        <v>-5.4988817082675938</v>
      </c>
      <c r="S22" s="30">
        <f t="shared" ca="1" si="6"/>
        <v>-5.5538705253502716</v>
      </c>
      <c r="T22" s="30">
        <f t="shared" ca="1" si="6"/>
        <v>-5.6094092306037728</v>
      </c>
      <c r="U22" s="30">
        <f t="shared" ca="1" si="6"/>
        <v>-11.331006645819622</v>
      </c>
      <c r="V22" s="30">
        <f t="shared" ca="1" si="6"/>
        <v>-6.0082662739458526</v>
      </c>
      <c r="W22" s="30">
        <f t="shared" ca="1" si="6"/>
        <v>-6.0683489366853109</v>
      </c>
      <c r="X22" s="30">
        <f t="shared" ca="1" si="6"/>
        <v>-6.1290324260521656</v>
      </c>
      <c r="Y22" s="30">
        <f t="shared" ca="1" si="6"/>
        <v>-6.1903227503126868</v>
      </c>
      <c r="Z22" s="30">
        <f t="shared" ca="1" si="6"/>
        <v>-12.504451955631628</v>
      </c>
      <c r="AA22" s="30">
        <f t="shared" ca="1" si="6"/>
        <v>-6.3147482375939719</v>
      </c>
      <c r="AB22" s="30">
        <f t="shared" ca="1" si="6"/>
        <v>-6.3778957199699118</v>
      </c>
      <c r="AC22" s="30">
        <f t="shared" ca="1" si="6"/>
        <v>-9.662512015754416</v>
      </c>
      <c r="AD22" s="30">
        <f t="shared" ca="1" si="6"/>
        <v>-6.5060914239413057</v>
      </c>
      <c r="AE22" s="30">
        <f t="shared" ca="1" si="6"/>
        <v>-6.5711523381807186</v>
      </c>
      <c r="AF22" s="30">
        <f t="shared" ca="1" si="6"/>
        <v>-6.6368638615625271</v>
      </c>
      <c r="AG22" s="30">
        <f t="shared" ca="1" si="6"/>
        <v>-13.406465000356304</v>
      </c>
      <c r="AH22" s="30">
        <f t="shared" ca="1" si="6"/>
        <v>-7.10877806643893</v>
      </c>
      <c r="AI22" s="30">
        <f t="shared" ca="1" si="6"/>
        <v>-7.1798658471033185</v>
      </c>
      <c r="AJ22" s="30">
        <f t="shared" ca="1" si="6"/>
        <v>-7.2516645055743512</v>
      </c>
      <c r="AK22" s="30">
        <f t="shared" ca="1" si="6"/>
        <v>-7.3241811506300953</v>
      </c>
      <c r="AL22" s="30">
        <f t="shared" ca="1" si="6"/>
        <v>-14.794845924272794</v>
      </c>
      <c r="AM22" s="30">
        <f t="shared" ca="1" si="6"/>
        <v>-7.4713971917577604</v>
      </c>
      <c r="AN22" s="30">
        <f t="shared" ca="1" si="6"/>
        <v>-7.5461111636753389</v>
      </c>
      <c r="AO22" s="30">
        <f t="shared" ca="1" si="6"/>
        <v>-11.432358412968137</v>
      </c>
      <c r="AP22" s="30">
        <f t="shared" ca="1" si="6"/>
        <v>-7.6977879980652135</v>
      </c>
      <c r="AQ22" s="30">
        <f t="shared" ca="1" si="6"/>
        <v>-7.7747658780458657</v>
      </c>
      <c r="AR22" s="30">
        <f t="shared" ca="1" si="6"/>
        <v>-7.8525135368263248</v>
      </c>
      <c r="AS22" s="30">
        <f t="shared" ca="1" si="6"/>
        <v>-15.862077344389174</v>
      </c>
      <c r="AT22" s="30">
        <f t="shared" ca="1" si="6"/>
        <v>-8.4108665118623609</v>
      </c>
    </row>
    <row r="23" spans="2:46" outlineLevel="1" x14ac:dyDescent="0.35">
      <c r="B23" s="10" t="str">
        <f>B77</f>
        <v>Расход бумаги</v>
      </c>
      <c r="D23" s="29"/>
      <c r="E23" s="29"/>
      <c r="F23" s="29"/>
      <c r="G23" s="29"/>
      <c r="H23" s="29"/>
      <c r="J23" s="30">
        <f t="shared" ref="J23:AT23" ca="1" si="7">-J77</f>
        <v>-0.125</v>
      </c>
      <c r="K23" s="30">
        <f t="shared" ca="1" si="7"/>
        <v>-0.12625</v>
      </c>
      <c r="L23" s="30">
        <f t="shared" ca="1" si="7"/>
        <v>-0.1275125</v>
      </c>
      <c r="M23" s="30">
        <f t="shared" ca="1" si="7"/>
        <v>-0.12878762499999999</v>
      </c>
      <c r="N23" s="30">
        <f t="shared" ca="1" si="7"/>
        <v>-0.26015100250000001</v>
      </c>
      <c r="O23" s="30">
        <f t="shared" ca="1" si="7"/>
        <v>-0.13137625626249999</v>
      </c>
      <c r="P23" s="30">
        <f t="shared" ca="1" si="7"/>
        <v>-0.13269001882512502</v>
      </c>
      <c r="Q23" s="30">
        <f t="shared" ca="1" si="7"/>
        <v>-0.20102537852006436</v>
      </c>
      <c r="R23" s="30">
        <f t="shared" ca="1" si="7"/>
        <v>-0.13535708820351003</v>
      </c>
      <c r="S23" s="30">
        <f t="shared" ca="1" si="7"/>
        <v>-0.13671065908554511</v>
      </c>
      <c r="T23" s="30">
        <f t="shared" ca="1" si="7"/>
        <v>-0.13807776567640054</v>
      </c>
      <c r="U23" s="30">
        <f t="shared" ca="1" si="7"/>
        <v>-0.27891708666632914</v>
      </c>
      <c r="V23" s="30">
        <f t="shared" ca="1" si="7"/>
        <v>-0.14085312876649622</v>
      </c>
      <c r="W23" s="30">
        <f t="shared" ca="1" si="7"/>
        <v>-0.14226166005416116</v>
      </c>
      <c r="X23" s="30">
        <f t="shared" ca="1" si="7"/>
        <v>-0.14368427665470279</v>
      </c>
      <c r="Y23" s="30">
        <f t="shared" ca="1" si="7"/>
        <v>-0.14512111942124983</v>
      </c>
      <c r="Z23" s="30">
        <f t="shared" ca="1" si="7"/>
        <v>-0.29314466123092459</v>
      </c>
      <c r="AA23" s="30">
        <f t="shared" ca="1" si="7"/>
        <v>-0.14803805392161695</v>
      </c>
      <c r="AB23" s="30">
        <f t="shared" ca="1" si="7"/>
        <v>-0.1495184344608331</v>
      </c>
      <c r="AC23" s="30">
        <f t="shared" ca="1" si="7"/>
        <v>-0.22652042820816212</v>
      </c>
      <c r="AD23" s="30">
        <f t="shared" ca="1" si="7"/>
        <v>-0.15252375499349585</v>
      </c>
      <c r="AE23" s="30">
        <f t="shared" ca="1" si="7"/>
        <v>-0.15404899254343082</v>
      </c>
      <c r="AF23" s="30">
        <f t="shared" ca="1" si="7"/>
        <v>-0.15558948246886509</v>
      </c>
      <c r="AG23" s="30">
        <f t="shared" ca="1" si="7"/>
        <v>-0.31429075458710753</v>
      </c>
      <c r="AH23" s="30">
        <f t="shared" ca="1" si="7"/>
        <v>-0.15871683106648932</v>
      </c>
      <c r="AI23" s="30">
        <f t="shared" ca="1" si="7"/>
        <v>-0.16030399937715417</v>
      </c>
      <c r="AJ23" s="30">
        <f t="shared" ca="1" si="7"/>
        <v>-0.16190703937092571</v>
      </c>
      <c r="AK23" s="30">
        <f t="shared" ca="1" si="7"/>
        <v>-0.16352610976463497</v>
      </c>
      <c r="AL23" s="30">
        <f t="shared" ca="1" si="7"/>
        <v>-0.33032274172456266</v>
      </c>
      <c r="AM23" s="30">
        <f t="shared" ca="1" si="7"/>
        <v>-0.16681298457090418</v>
      </c>
      <c r="AN23" s="30">
        <f t="shared" ca="1" si="7"/>
        <v>-0.1684811144166132</v>
      </c>
      <c r="AO23" s="30">
        <f t="shared" ca="1" si="7"/>
        <v>-0.25524888834116899</v>
      </c>
      <c r="AP23" s="30">
        <f t="shared" ca="1" si="7"/>
        <v>-0.17186758481638717</v>
      </c>
      <c r="AQ23" s="30">
        <f t="shared" ca="1" si="7"/>
        <v>-0.17358626066455102</v>
      </c>
      <c r="AR23" s="30">
        <f t="shared" ca="1" si="7"/>
        <v>-0.17532212327119651</v>
      </c>
      <c r="AS23" s="30">
        <f t="shared" ca="1" si="7"/>
        <v>-0.35415068900781699</v>
      </c>
      <c r="AT23" s="30">
        <f t="shared" ca="1" si="7"/>
        <v>-0.17884609794894757</v>
      </c>
    </row>
    <row r="24" spans="2:46" outlineLevel="1" x14ac:dyDescent="0.35">
      <c r="B24" s="10" t="str">
        <f>B86</f>
        <v>Расход краски без учета НДС</v>
      </c>
      <c r="D24" s="29"/>
      <c r="E24" s="29"/>
      <c r="F24" s="29"/>
      <c r="G24" s="29"/>
      <c r="H24" s="29"/>
      <c r="J24" s="30">
        <f t="shared" ref="J24:AT24" ca="1" si="8">-J86</f>
        <v>-0.125</v>
      </c>
      <c r="K24" s="30">
        <f t="shared" ca="1" si="8"/>
        <v>-0.12625</v>
      </c>
      <c r="L24" s="30">
        <f t="shared" ca="1" si="8"/>
        <v>-0.1275125</v>
      </c>
      <c r="M24" s="30">
        <f t="shared" ca="1" si="8"/>
        <v>-0.12878762499999999</v>
      </c>
      <c r="N24" s="30">
        <f t="shared" ca="1" si="8"/>
        <v>-0.26015100250000001</v>
      </c>
      <c r="O24" s="30">
        <f t="shared" ca="1" si="8"/>
        <v>-0.13137625626249999</v>
      </c>
      <c r="P24" s="30">
        <f t="shared" ca="1" si="8"/>
        <v>-0.13269001882512502</v>
      </c>
      <c r="Q24" s="30">
        <f t="shared" ca="1" si="8"/>
        <v>-0.20102537852006436</v>
      </c>
      <c r="R24" s="30">
        <f t="shared" ca="1" si="8"/>
        <v>-0.13535708820351003</v>
      </c>
      <c r="S24" s="30">
        <f t="shared" ca="1" si="8"/>
        <v>-0.13671065908554511</v>
      </c>
      <c r="T24" s="30">
        <f t="shared" ca="1" si="8"/>
        <v>-0.13807776567640054</v>
      </c>
      <c r="U24" s="30">
        <f t="shared" ca="1" si="8"/>
        <v>-0.27891708666632914</v>
      </c>
      <c r="V24" s="30">
        <f t="shared" ca="1" si="8"/>
        <v>-0.14085312876649622</v>
      </c>
      <c r="W24" s="30">
        <f t="shared" ca="1" si="8"/>
        <v>-0.14226166005416116</v>
      </c>
      <c r="X24" s="30">
        <f t="shared" ca="1" si="8"/>
        <v>-0.14368427665470279</v>
      </c>
      <c r="Y24" s="30">
        <f t="shared" ca="1" si="8"/>
        <v>-0.14512111942124983</v>
      </c>
      <c r="Z24" s="30">
        <f t="shared" ca="1" si="8"/>
        <v>-0.29314466123092459</v>
      </c>
      <c r="AA24" s="30">
        <f t="shared" ca="1" si="8"/>
        <v>-0.14803805392161695</v>
      </c>
      <c r="AB24" s="30">
        <f t="shared" ca="1" si="8"/>
        <v>-0.1495184344608331</v>
      </c>
      <c r="AC24" s="30">
        <f t="shared" ca="1" si="8"/>
        <v>-0.22652042820816212</v>
      </c>
      <c r="AD24" s="30">
        <f t="shared" ca="1" si="8"/>
        <v>-0.15252375499349585</v>
      </c>
      <c r="AE24" s="30">
        <f t="shared" ca="1" si="8"/>
        <v>-0.15404899254343082</v>
      </c>
      <c r="AF24" s="30">
        <f t="shared" ca="1" si="8"/>
        <v>-0.15558948246886509</v>
      </c>
      <c r="AG24" s="30">
        <f t="shared" ca="1" si="8"/>
        <v>-0.31429075458710753</v>
      </c>
      <c r="AH24" s="30">
        <f t="shared" ca="1" si="8"/>
        <v>-0.15871683106648932</v>
      </c>
      <c r="AI24" s="30">
        <f t="shared" ca="1" si="8"/>
        <v>-0.16030399937715417</v>
      </c>
      <c r="AJ24" s="30">
        <f t="shared" ca="1" si="8"/>
        <v>-0.16190703937092571</v>
      </c>
      <c r="AK24" s="30">
        <f t="shared" ca="1" si="8"/>
        <v>-0.16352610976463497</v>
      </c>
      <c r="AL24" s="30">
        <f t="shared" ca="1" si="8"/>
        <v>-0.33032274172456266</v>
      </c>
      <c r="AM24" s="30">
        <f t="shared" ca="1" si="8"/>
        <v>-0.16681298457090418</v>
      </c>
      <c r="AN24" s="30">
        <f t="shared" ca="1" si="8"/>
        <v>-0.1684811144166132</v>
      </c>
      <c r="AO24" s="30">
        <f t="shared" ca="1" si="8"/>
        <v>-0.25524888834116899</v>
      </c>
      <c r="AP24" s="30">
        <f t="shared" ca="1" si="8"/>
        <v>-0.17186758481638717</v>
      </c>
      <c r="AQ24" s="30">
        <f t="shared" ca="1" si="8"/>
        <v>-0.17358626066455102</v>
      </c>
      <c r="AR24" s="30">
        <f t="shared" ca="1" si="8"/>
        <v>-0.17532212327119651</v>
      </c>
      <c r="AS24" s="30">
        <f t="shared" ca="1" si="8"/>
        <v>-0.35415068900781699</v>
      </c>
      <c r="AT24" s="30">
        <f t="shared" ca="1" si="8"/>
        <v>-0.17884609794894757</v>
      </c>
    </row>
    <row r="25" spans="2:46" x14ac:dyDescent="0.35">
      <c r="B25" s="26" t="s">
        <v>84</v>
      </c>
      <c r="D25" s="29"/>
      <c r="E25" s="29"/>
      <c r="F25" s="29"/>
      <c r="G25" s="29"/>
      <c r="H25" s="29"/>
      <c r="J25" s="27">
        <f t="shared" ref="J25:AT25" ca="1" si="9">SUM(J18:J19)</f>
        <v>138.94270833333337</v>
      </c>
      <c r="K25" s="27">
        <f t="shared" ca="1" si="9"/>
        <v>140.96338541666665</v>
      </c>
      <c r="L25" s="27">
        <f t="shared" ca="1" si="9"/>
        <v>143.01249445833338</v>
      </c>
      <c r="M25" s="27">
        <f t="shared" ca="1" si="9"/>
        <v>145.09042695210979</v>
      </c>
      <c r="N25" s="27">
        <f t="shared" ca="1" si="9"/>
        <v>294.39515940638012</v>
      </c>
      <c r="O25" s="27">
        <f t="shared" ca="1" si="9"/>
        <v>149.33435489949571</v>
      </c>
      <c r="P25" s="27">
        <f t="shared" ca="1" si="9"/>
        <v>151.50116018393706</v>
      </c>
      <c r="Q25" s="27">
        <f t="shared" ca="1" si="9"/>
        <v>230.54761309145357</v>
      </c>
      <c r="R25" s="27">
        <f t="shared" ca="1" si="9"/>
        <v>155.92651930412376</v>
      </c>
      <c r="S25" s="27">
        <f t="shared" ca="1" si="9"/>
        <v>158.18591636453101</v>
      </c>
      <c r="T25" s="27">
        <f t="shared" ca="1" si="9"/>
        <v>160.47703011377419</v>
      </c>
      <c r="U25" s="27">
        <f t="shared" ca="1" si="9"/>
        <v>325.60059317552043</v>
      </c>
      <c r="V25" s="27">
        <f t="shared" ca="1" si="9"/>
        <v>161.26068838916981</v>
      </c>
      <c r="W25" s="27">
        <f t="shared" ca="1" si="9"/>
        <v>163.61063744310101</v>
      </c>
      <c r="X25" s="27">
        <f t="shared" ca="1" si="9"/>
        <v>165.99369355604713</v>
      </c>
      <c r="Y25" s="27">
        <f t="shared" ca="1" si="9"/>
        <v>168.41031298521557</v>
      </c>
      <c r="Z25" s="27">
        <f t="shared" ca="1" si="9"/>
        <v>341.72191636313488</v>
      </c>
      <c r="AA25" s="27">
        <f t="shared" ca="1" si="9"/>
        <v>173.34609787300934</v>
      </c>
      <c r="AB25" s="27">
        <f t="shared" ca="1" si="9"/>
        <v>175.86620714869395</v>
      </c>
      <c r="AC25" s="27">
        <f t="shared" ca="1" si="9"/>
        <v>267.63265131666714</v>
      </c>
      <c r="AD25" s="27">
        <f t="shared" ca="1" si="9"/>
        <v>181.01326712931831</v>
      </c>
      <c r="AE25" s="27">
        <f t="shared" ca="1" si="9"/>
        <v>183.64120059332038</v>
      </c>
      <c r="AF25" s="27">
        <f t="shared" ca="1" si="9"/>
        <v>186.30606933629156</v>
      </c>
      <c r="AG25" s="27">
        <f t="shared" ca="1" si="9"/>
        <v>378.01676311595196</v>
      </c>
      <c r="AH25" s="27">
        <f t="shared" ca="1" si="9"/>
        <v>187.13966437214967</v>
      </c>
      <c r="AI25" s="27">
        <f t="shared" ca="1" si="9"/>
        <v>189.87232592790053</v>
      </c>
      <c r="AJ25" s="27">
        <f t="shared" ca="1" si="9"/>
        <v>192.64353638101264</v>
      </c>
      <c r="AK25" s="27">
        <f t="shared" ca="1" si="9"/>
        <v>195.45382744679154</v>
      </c>
      <c r="AL25" s="27">
        <f t="shared" ca="1" si="9"/>
        <v>396.60747612604985</v>
      </c>
      <c r="AM25" s="27">
        <f t="shared" ca="1" si="9"/>
        <v>201.19381448703388</v>
      </c>
      <c r="AN25" s="27">
        <f t="shared" ca="1" si="9"/>
        <v>204.12461039401808</v>
      </c>
      <c r="AO25" s="27">
        <f t="shared" ca="1" si="9"/>
        <v>310.64503046506883</v>
      </c>
      <c r="AP25" s="27">
        <f t="shared" ca="1" si="9"/>
        <v>210.11061304637201</v>
      </c>
      <c r="AQ25" s="27">
        <f t="shared" ca="1" si="9"/>
        <v>213.16696513510277</v>
      </c>
      <c r="AR25" s="27">
        <f t="shared" ca="1" si="9"/>
        <v>216.26632759955692</v>
      </c>
      <c r="AS25" s="27">
        <f t="shared" ca="1" si="9"/>
        <v>438.81858545202101</v>
      </c>
      <c r="AT25" s="27">
        <f t="shared" ca="1" si="9"/>
        <v>217.14326166980831</v>
      </c>
    </row>
    <row r="26" spans="2:46" x14ac:dyDescent="0.35">
      <c r="B26" s="26" t="s">
        <v>51</v>
      </c>
      <c r="D26" s="29"/>
      <c r="E26" s="29"/>
      <c r="F26" s="29"/>
      <c r="G26" s="29"/>
      <c r="H26" s="29"/>
      <c r="J26" s="27">
        <f t="shared" ref="J26:AT26" ca="1" si="10">SUM(J27:J29)</f>
        <v>-117.25862068965517</v>
      </c>
      <c r="K26" s="27">
        <f t="shared" ca="1" si="10"/>
        <v>-117.25862068965517</v>
      </c>
      <c r="L26" s="27">
        <f t="shared" ca="1" si="10"/>
        <v>-117.25862068965517</v>
      </c>
      <c r="M26" s="27">
        <f t="shared" ca="1" si="10"/>
        <v>-117.25862068965517</v>
      </c>
      <c r="N26" s="27">
        <f t="shared" ca="1" si="10"/>
        <v>-117.25862068965517</v>
      </c>
      <c r="O26" s="27">
        <f t="shared" ca="1" si="10"/>
        <v>-117.25862068965517</v>
      </c>
      <c r="P26" s="27">
        <f t="shared" ca="1" si="10"/>
        <v>-117.25862068965517</v>
      </c>
      <c r="Q26" s="27">
        <f t="shared" ca="1" si="10"/>
        <v>-117.25862068965517</v>
      </c>
      <c r="R26" s="27">
        <f t="shared" ca="1" si="10"/>
        <v>-117.25862068965517</v>
      </c>
      <c r="S26" s="27">
        <f t="shared" ca="1" si="10"/>
        <v>-117.25862068965517</v>
      </c>
      <c r="T26" s="27">
        <f t="shared" ca="1" si="10"/>
        <v>-117.25862068965517</v>
      </c>
      <c r="U26" s="27">
        <f t="shared" ca="1" si="10"/>
        <v>-117.25862068965517</v>
      </c>
      <c r="V26" s="27">
        <f t="shared" ca="1" si="10"/>
        <v>-117.88362068965517</v>
      </c>
      <c r="W26" s="27">
        <f t="shared" ca="1" si="10"/>
        <v>-117.88362068965517</v>
      </c>
      <c r="X26" s="27">
        <f t="shared" ca="1" si="10"/>
        <v>-117.88362068965517</v>
      </c>
      <c r="Y26" s="27">
        <f t="shared" ca="1" si="10"/>
        <v>-117.88362068965517</v>
      </c>
      <c r="Z26" s="27">
        <f t="shared" ca="1" si="10"/>
        <v>-117.88362068965517</v>
      </c>
      <c r="AA26" s="27">
        <f t="shared" ca="1" si="10"/>
        <v>-117.88362068965517</v>
      </c>
      <c r="AB26" s="27">
        <f t="shared" ca="1" si="10"/>
        <v>-117.88362068965517</v>
      </c>
      <c r="AC26" s="27">
        <f t="shared" ca="1" si="10"/>
        <v>-117.88362068965517</v>
      </c>
      <c r="AD26" s="27">
        <f t="shared" ca="1" si="10"/>
        <v>-117.88362068965517</v>
      </c>
      <c r="AE26" s="27">
        <f t="shared" ca="1" si="10"/>
        <v>-117.88362068965517</v>
      </c>
      <c r="AF26" s="27">
        <f t="shared" ca="1" si="10"/>
        <v>-117.88362068965517</v>
      </c>
      <c r="AG26" s="27">
        <f t="shared" ca="1" si="10"/>
        <v>-117.88362068965517</v>
      </c>
      <c r="AH26" s="27">
        <f t="shared" ca="1" si="10"/>
        <v>-118.53987068965517</v>
      </c>
      <c r="AI26" s="27">
        <f t="shared" ca="1" si="10"/>
        <v>-118.53987068965517</v>
      </c>
      <c r="AJ26" s="27">
        <f t="shared" ca="1" si="10"/>
        <v>-118.53987068965517</v>
      </c>
      <c r="AK26" s="27">
        <f t="shared" ca="1" si="10"/>
        <v>-118.53987068965517</v>
      </c>
      <c r="AL26" s="27">
        <f t="shared" ca="1" si="10"/>
        <v>-118.53987068965517</v>
      </c>
      <c r="AM26" s="27">
        <f t="shared" ca="1" si="10"/>
        <v>-118.53987068965517</v>
      </c>
      <c r="AN26" s="27">
        <f t="shared" ca="1" si="10"/>
        <v>-118.53987068965517</v>
      </c>
      <c r="AO26" s="27">
        <f t="shared" ca="1" si="10"/>
        <v>-118.53987068965517</v>
      </c>
      <c r="AP26" s="27">
        <f t="shared" ca="1" si="10"/>
        <v>-118.53987068965517</v>
      </c>
      <c r="AQ26" s="27">
        <f t="shared" ca="1" si="10"/>
        <v>-118.53987068965517</v>
      </c>
      <c r="AR26" s="27">
        <f t="shared" ca="1" si="10"/>
        <v>-118.53987068965517</v>
      </c>
      <c r="AS26" s="27">
        <f t="shared" ca="1" si="10"/>
        <v>-118.53987068965517</v>
      </c>
      <c r="AT26" s="27">
        <f t="shared" ca="1" si="10"/>
        <v>-119.22893318965517</v>
      </c>
    </row>
    <row r="27" spans="2:46" outlineLevel="1" x14ac:dyDescent="0.35">
      <c r="B27" s="25" t="str">
        <f>B97</f>
        <v>ФОТ, включая налоги</v>
      </c>
      <c r="D27" s="29"/>
      <c r="E27" s="29"/>
      <c r="F27" s="29"/>
      <c r="G27" s="29"/>
      <c r="H27" s="29"/>
      <c r="J27" s="24">
        <f t="shared" ref="J27:AT27" ca="1" si="11">-J97</f>
        <v>-104.75862068965517</v>
      </c>
      <c r="K27" s="24">
        <f t="shared" ca="1" si="11"/>
        <v>-104.75862068965517</v>
      </c>
      <c r="L27" s="24">
        <f t="shared" ca="1" si="11"/>
        <v>-104.75862068965517</v>
      </c>
      <c r="M27" s="24">
        <f t="shared" ca="1" si="11"/>
        <v>-104.75862068965517</v>
      </c>
      <c r="N27" s="24">
        <f t="shared" ca="1" si="11"/>
        <v>-104.75862068965517</v>
      </c>
      <c r="O27" s="24">
        <f t="shared" ca="1" si="11"/>
        <v>-104.75862068965517</v>
      </c>
      <c r="P27" s="24">
        <f t="shared" ca="1" si="11"/>
        <v>-104.75862068965517</v>
      </c>
      <c r="Q27" s="24">
        <f t="shared" ca="1" si="11"/>
        <v>-104.75862068965517</v>
      </c>
      <c r="R27" s="24">
        <f t="shared" ca="1" si="11"/>
        <v>-104.75862068965517</v>
      </c>
      <c r="S27" s="24">
        <f t="shared" ca="1" si="11"/>
        <v>-104.75862068965517</v>
      </c>
      <c r="T27" s="24">
        <f t="shared" ca="1" si="11"/>
        <v>-104.75862068965517</v>
      </c>
      <c r="U27" s="24">
        <f t="shared" ca="1" si="11"/>
        <v>-104.75862068965517</v>
      </c>
      <c r="V27" s="24">
        <f t="shared" ca="1" si="11"/>
        <v>-104.75862068965517</v>
      </c>
      <c r="W27" s="24">
        <f t="shared" ca="1" si="11"/>
        <v>-104.75862068965517</v>
      </c>
      <c r="X27" s="24">
        <f t="shared" ca="1" si="11"/>
        <v>-104.75862068965517</v>
      </c>
      <c r="Y27" s="24">
        <f t="shared" ca="1" si="11"/>
        <v>-104.75862068965517</v>
      </c>
      <c r="Z27" s="24">
        <f t="shared" ca="1" si="11"/>
        <v>-104.75862068965517</v>
      </c>
      <c r="AA27" s="24">
        <f t="shared" ca="1" si="11"/>
        <v>-104.75862068965517</v>
      </c>
      <c r="AB27" s="24">
        <f t="shared" ca="1" si="11"/>
        <v>-104.75862068965517</v>
      </c>
      <c r="AC27" s="24">
        <f t="shared" ca="1" si="11"/>
        <v>-104.75862068965517</v>
      </c>
      <c r="AD27" s="24">
        <f t="shared" ca="1" si="11"/>
        <v>-104.75862068965517</v>
      </c>
      <c r="AE27" s="24">
        <f t="shared" ca="1" si="11"/>
        <v>-104.75862068965517</v>
      </c>
      <c r="AF27" s="24">
        <f t="shared" ca="1" si="11"/>
        <v>-104.75862068965517</v>
      </c>
      <c r="AG27" s="24">
        <f t="shared" ca="1" si="11"/>
        <v>-104.75862068965517</v>
      </c>
      <c r="AH27" s="24">
        <f t="shared" ca="1" si="11"/>
        <v>-104.75862068965517</v>
      </c>
      <c r="AI27" s="24">
        <f t="shared" ca="1" si="11"/>
        <v>-104.75862068965517</v>
      </c>
      <c r="AJ27" s="24">
        <f t="shared" ca="1" si="11"/>
        <v>-104.75862068965517</v>
      </c>
      <c r="AK27" s="24">
        <f t="shared" ca="1" si="11"/>
        <v>-104.75862068965517</v>
      </c>
      <c r="AL27" s="24">
        <f t="shared" ca="1" si="11"/>
        <v>-104.75862068965517</v>
      </c>
      <c r="AM27" s="24">
        <f t="shared" ca="1" si="11"/>
        <v>-104.75862068965517</v>
      </c>
      <c r="AN27" s="24">
        <f t="shared" ca="1" si="11"/>
        <v>-104.75862068965517</v>
      </c>
      <c r="AO27" s="24">
        <f t="shared" ca="1" si="11"/>
        <v>-104.75862068965517</v>
      </c>
      <c r="AP27" s="24">
        <f t="shared" ca="1" si="11"/>
        <v>-104.75862068965517</v>
      </c>
      <c r="AQ27" s="24">
        <f t="shared" ca="1" si="11"/>
        <v>-104.75862068965517</v>
      </c>
      <c r="AR27" s="24">
        <f t="shared" ca="1" si="11"/>
        <v>-104.75862068965517</v>
      </c>
      <c r="AS27" s="24">
        <f t="shared" ca="1" si="11"/>
        <v>-104.75862068965517</v>
      </c>
      <c r="AT27" s="24">
        <f t="shared" ca="1" si="11"/>
        <v>-104.75862068965517</v>
      </c>
    </row>
    <row r="28" spans="2:46" outlineLevel="1" x14ac:dyDescent="0.35">
      <c r="B28" s="11" t="str">
        <f>B91</f>
        <v>Доступ к системе поиска туров без учета НДС</v>
      </c>
      <c r="D28" s="29"/>
      <c r="E28" s="29"/>
      <c r="F28" s="29"/>
      <c r="G28" s="29"/>
      <c r="H28" s="29"/>
      <c r="J28" s="12">
        <f t="shared" ref="J28:AT28" ca="1" si="12">-J91</f>
        <v>-8.3333333333333339</v>
      </c>
      <c r="K28" s="12">
        <f t="shared" ca="1" si="12"/>
        <v>-8.3333333333333339</v>
      </c>
      <c r="L28" s="12">
        <f t="shared" ca="1" si="12"/>
        <v>-8.3333333333333339</v>
      </c>
      <c r="M28" s="12">
        <f t="shared" ca="1" si="12"/>
        <v>-8.3333333333333339</v>
      </c>
      <c r="N28" s="12">
        <f t="shared" ca="1" si="12"/>
        <v>-8.3333333333333339</v>
      </c>
      <c r="O28" s="12">
        <f t="shared" ca="1" si="12"/>
        <v>-8.3333333333333339</v>
      </c>
      <c r="P28" s="12">
        <f t="shared" ca="1" si="12"/>
        <v>-8.3333333333333339</v>
      </c>
      <c r="Q28" s="12">
        <f t="shared" ca="1" si="12"/>
        <v>-8.3333333333333339</v>
      </c>
      <c r="R28" s="12">
        <f t="shared" ca="1" si="12"/>
        <v>-8.3333333333333339</v>
      </c>
      <c r="S28" s="12">
        <f t="shared" ca="1" si="12"/>
        <v>-8.3333333333333339</v>
      </c>
      <c r="T28" s="12">
        <f t="shared" ca="1" si="12"/>
        <v>-8.3333333333333339</v>
      </c>
      <c r="U28" s="12">
        <f t="shared" ca="1" si="12"/>
        <v>-8.3333333333333339</v>
      </c>
      <c r="V28" s="12">
        <f t="shared" ca="1" si="12"/>
        <v>-8.75</v>
      </c>
      <c r="W28" s="12">
        <f t="shared" ca="1" si="12"/>
        <v>-8.75</v>
      </c>
      <c r="X28" s="12">
        <f t="shared" ca="1" si="12"/>
        <v>-8.75</v>
      </c>
      <c r="Y28" s="12">
        <f t="shared" ca="1" si="12"/>
        <v>-8.75</v>
      </c>
      <c r="Z28" s="12">
        <f t="shared" ca="1" si="12"/>
        <v>-8.75</v>
      </c>
      <c r="AA28" s="12">
        <f t="shared" ca="1" si="12"/>
        <v>-8.75</v>
      </c>
      <c r="AB28" s="12">
        <f t="shared" ca="1" si="12"/>
        <v>-8.75</v>
      </c>
      <c r="AC28" s="12">
        <f t="shared" ca="1" si="12"/>
        <v>-8.75</v>
      </c>
      <c r="AD28" s="12">
        <f t="shared" ca="1" si="12"/>
        <v>-8.75</v>
      </c>
      <c r="AE28" s="12">
        <f t="shared" ca="1" si="12"/>
        <v>-8.75</v>
      </c>
      <c r="AF28" s="12">
        <f t="shared" ca="1" si="12"/>
        <v>-8.75</v>
      </c>
      <c r="AG28" s="12">
        <f t="shared" ca="1" si="12"/>
        <v>-8.75</v>
      </c>
      <c r="AH28" s="12">
        <f t="shared" ca="1" si="12"/>
        <v>-9.1875</v>
      </c>
      <c r="AI28" s="12">
        <f t="shared" ca="1" si="12"/>
        <v>-9.1875</v>
      </c>
      <c r="AJ28" s="12">
        <f t="shared" ca="1" si="12"/>
        <v>-9.1875</v>
      </c>
      <c r="AK28" s="12">
        <f t="shared" ca="1" si="12"/>
        <v>-9.1875</v>
      </c>
      <c r="AL28" s="12">
        <f t="shared" ca="1" si="12"/>
        <v>-9.1875</v>
      </c>
      <c r="AM28" s="12">
        <f t="shared" ca="1" si="12"/>
        <v>-9.1875</v>
      </c>
      <c r="AN28" s="12">
        <f t="shared" ca="1" si="12"/>
        <v>-9.1875</v>
      </c>
      <c r="AO28" s="12">
        <f t="shared" ca="1" si="12"/>
        <v>-9.1875</v>
      </c>
      <c r="AP28" s="12">
        <f t="shared" ca="1" si="12"/>
        <v>-9.1875</v>
      </c>
      <c r="AQ28" s="12">
        <f t="shared" ca="1" si="12"/>
        <v>-9.1875</v>
      </c>
      <c r="AR28" s="12">
        <f t="shared" ca="1" si="12"/>
        <v>-9.1875</v>
      </c>
      <c r="AS28" s="12">
        <f t="shared" ca="1" si="12"/>
        <v>-9.1875</v>
      </c>
      <c r="AT28" s="12">
        <f t="shared" ca="1" si="12"/>
        <v>-9.6468749999999996</v>
      </c>
    </row>
    <row r="29" spans="2:46" outlineLevel="1" x14ac:dyDescent="0.35">
      <c r="B29" s="11" t="str">
        <f>B95</f>
        <v>Аренда офиса без учета НДС</v>
      </c>
      <c r="D29" s="29"/>
      <c r="E29" s="29"/>
      <c r="F29" s="29"/>
      <c r="G29" s="29"/>
      <c r="H29" s="29"/>
      <c r="J29" s="12">
        <f t="shared" ref="J29:AT29" ca="1" si="13">-J95</f>
        <v>-4.166666666666667</v>
      </c>
      <c r="K29" s="12">
        <f t="shared" ca="1" si="13"/>
        <v>-4.166666666666667</v>
      </c>
      <c r="L29" s="12">
        <f t="shared" ca="1" si="13"/>
        <v>-4.166666666666667</v>
      </c>
      <c r="M29" s="12">
        <f t="shared" ca="1" si="13"/>
        <v>-4.166666666666667</v>
      </c>
      <c r="N29" s="12">
        <f t="shared" ca="1" si="13"/>
        <v>-4.166666666666667</v>
      </c>
      <c r="O29" s="12">
        <f t="shared" ca="1" si="13"/>
        <v>-4.166666666666667</v>
      </c>
      <c r="P29" s="12">
        <f t="shared" ca="1" si="13"/>
        <v>-4.166666666666667</v>
      </c>
      <c r="Q29" s="12">
        <f t="shared" ca="1" si="13"/>
        <v>-4.166666666666667</v>
      </c>
      <c r="R29" s="12">
        <f t="shared" ca="1" si="13"/>
        <v>-4.166666666666667</v>
      </c>
      <c r="S29" s="12">
        <f t="shared" ca="1" si="13"/>
        <v>-4.166666666666667</v>
      </c>
      <c r="T29" s="12">
        <f t="shared" ca="1" si="13"/>
        <v>-4.166666666666667</v>
      </c>
      <c r="U29" s="12">
        <f t="shared" ca="1" si="13"/>
        <v>-4.166666666666667</v>
      </c>
      <c r="V29" s="12">
        <f t="shared" ca="1" si="13"/>
        <v>-4.375</v>
      </c>
      <c r="W29" s="12">
        <f t="shared" ca="1" si="13"/>
        <v>-4.375</v>
      </c>
      <c r="X29" s="12">
        <f t="shared" ca="1" si="13"/>
        <v>-4.375</v>
      </c>
      <c r="Y29" s="12">
        <f t="shared" ca="1" si="13"/>
        <v>-4.375</v>
      </c>
      <c r="Z29" s="12">
        <f t="shared" ca="1" si="13"/>
        <v>-4.375</v>
      </c>
      <c r="AA29" s="12">
        <f t="shared" ca="1" si="13"/>
        <v>-4.375</v>
      </c>
      <c r="AB29" s="12">
        <f t="shared" ca="1" si="13"/>
        <v>-4.375</v>
      </c>
      <c r="AC29" s="12">
        <f t="shared" ca="1" si="13"/>
        <v>-4.375</v>
      </c>
      <c r="AD29" s="12">
        <f t="shared" ca="1" si="13"/>
        <v>-4.375</v>
      </c>
      <c r="AE29" s="12">
        <f t="shared" ca="1" si="13"/>
        <v>-4.375</v>
      </c>
      <c r="AF29" s="12">
        <f t="shared" ca="1" si="13"/>
        <v>-4.375</v>
      </c>
      <c r="AG29" s="12">
        <f t="shared" ca="1" si="13"/>
        <v>-4.375</v>
      </c>
      <c r="AH29" s="12">
        <f t="shared" ca="1" si="13"/>
        <v>-4.59375</v>
      </c>
      <c r="AI29" s="12">
        <f t="shared" ca="1" si="13"/>
        <v>-4.59375</v>
      </c>
      <c r="AJ29" s="12">
        <f t="shared" ca="1" si="13"/>
        <v>-4.59375</v>
      </c>
      <c r="AK29" s="12">
        <f t="shared" ca="1" si="13"/>
        <v>-4.59375</v>
      </c>
      <c r="AL29" s="12">
        <f t="shared" ca="1" si="13"/>
        <v>-4.59375</v>
      </c>
      <c r="AM29" s="12">
        <f t="shared" ca="1" si="13"/>
        <v>-4.59375</v>
      </c>
      <c r="AN29" s="12">
        <f t="shared" ca="1" si="13"/>
        <v>-4.59375</v>
      </c>
      <c r="AO29" s="12">
        <f t="shared" ca="1" si="13"/>
        <v>-4.59375</v>
      </c>
      <c r="AP29" s="12">
        <f t="shared" ca="1" si="13"/>
        <v>-4.59375</v>
      </c>
      <c r="AQ29" s="12">
        <f t="shared" ca="1" si="13"/>
        <v>-4.59375</v>
      </c>
      <c r="AR29" s="12">
        <f t="shared" ca="1" si="13"/>
        <v>-4.59375</v>
      </c>
      <c r="AS29" s="12">
        <f t="shared" ca="1" si="13"/>
        <v>-4.59375</v>
      </c>
      <c r="AT29" s="12">
        <f t="shared" ca="1" si="13"/>
        <v>-4.8234374999999998</v>
      </c>
    </row>
    <row r="30" spans="2:46" x14ac:dyDescent="0.35">
      <c r="B30" s="26" t="s">
        <v>85</v>
      </c>
      <c r="D30" s="29"/>
      <c r="E30" s="29"/>
      <c r="F30" s="29"/>
      <c r="G30" s="29"/>
      <c r="H30" s="29"/>
      <c r="J30" s="27">
        <f t="shared" ref="J30:AT30" ca="1" si="14">SUM(J18+J19+J26)</f>
        <v>21.684087643678197</v>
      </c>
      <c r="K30" s="27">
        <f t="shared" ca="1" si="14"/>
        <v>23.704764727011479</v>
      </c>
      <c r="L30" s="27">
        <f t="shared" ca="1" si="14"/>
        <v>25.753873768678204</v>
      </c>
      <c r="M30" s="27">
        <f t="shared" ca="1" si="14"/>
        <v>27.83180626245462</v>
      </c>
      <c r="N30" s="27">
        <f t="shared" ca="1" si="14"/>
        <v>177.13653871672494</v>
      </c>
      <c r="O30" s="27">
        <f t="shared" ca="1" si="14"/>
        <v>32.075734209840533</v>
      </c>
      <c r="P30" s="27">
        <f t="shared" ca="1" si="14"/>
        <v>34.242539494281885</v>
      </c>
      <c r="Q30" s="27">
        <f t="shared" ca="1" si="14"/>
        <v>113.2889924017984</v>
      </c>
      <c r="R30" s="27">
        <f t="shared" ca="1" si="14"/>
        <v>38.667898614468584</v>
      </c>
      <c r="S30" s="27">
        <f t="shared" ca="1" si="14"/>
        <v>40.927295674875836</v>
      </c>
      <c r="T30" s="27">
        <f t="shared" ca="1" si="14"/>
        <v>43.218409424119017</v>
      </c>
      <c r="U30" s="27">
        <f t="shared" ca="1" si="14"/>
        <v>208.34197248586526</v>
      </c>
      <c r="V30" s="27">
        <f t="shared" ca="1" si="14"/>
        <v>43.37706769951464</v>
      </c>
      <c r="W30" s="27">
        <f t="shared" ca="1" si="14"/>
        <v>45.727016753445838</v>
      </c>
      <c r="X30" s="27">
        <f t="shared" ca="1" si="14"/>
        <v>48.11007286639196</v>
      </c>
      <c r="Y30" s="27">
        <f t="shared" ca="1" si="14"/>
        <v>50.526692295560395</v>
      </c>
      <c r="Z30" s="27">
        <f t="shared" ca="1" si="14"/>
        <v>223.83829567347971</v>
      </c>
      <c r="AA30" s="27">
        <f t="shared" ca="1" si="14"/>
        <v>55.462477183354167</v>
      </c>
      <c r="AB30" s="27">
        <f t="shared" ca="1" si="14"/>
        <v>57.982586459038771</v>
      </c>
      <c r="AC30" s="27">
        <f t="shared" ca="1" si="14"/>
        <v>149.74903062701196</v>
      </c>
      <c r="AD30" s="27">
        <f t="shared" ca="1" si="14"/>
        <v>63.129646439663134</v>
      </c>
      <c r="AE30" s="27">
        <f t="shared" ca="1" si="14"/>
        <v>65.757579903665203</v>
      </c>
      <c r="AF30" s="27">
        <f t="shared" ca="1" si="14"/>
        <v>68.422448646636383</v>
      </c>
      <c r="AG30" s="27">
        <f t="shared" ca="1" si="14"/>
        <v>260.13314242629679</v>
      </c>
      <c r="AH30" s="27">
        <f t="shared" ca="1" si="14"/>
        <v>68.599793682494493</v>
      </c>
      <c r="AI30" s="27">
        <f t="shared" ca="1" si="14"/>
        <v>71.332455238245359</v>
      </c>
      <c r="AJ30" s="27">
        <f t="shared" ca="1" si="14"/>
        <v>74.103665691357463</v>
      </c>
      <c r="AK30" s="27">
        <f t="shared" ca="1" si="14"/>
        <v>76.913956757136361</v>
      </c>
      <c r="AL30" s="27">
        <f t="shared" ca="1" si="14"/>
        <v>278.06760543639467</v>
      </c>
      <c r="AM30" s="27">
        <f t="shared" ca="1" si="14"/>
        <v>82.653943797378702</v>
      </c>
      <c r="AN30" s="27">
        <f t="shared" ca="1" si="14"/>
        <v>85.584739704362903</v>
      </c>
      <c r="AO30" s="27">
        <f t="shared" ca="1" si="14"/>
        <v>192.10515977541365</v>
      </c>
      <c r="AP30" s="27">
        <f t="shared" ca="1" si="14"/>
        <v>91.570742356716835</v>
      </c>
      <c r="AQ30" s="27">
        <f t="shared" ca="1" si="14"/>
        <v>94.627094445447597</v>
      </c>
      <c r="AR30" s="27">
        <f t="shared" ca="1" si="14"/>
        <v>97.726456909901742</v>
      </c>
      <c r="AS30" s="27">
        <f t="shared" ca="1" si="14"/>
        <v>320.27871476236584</v>
      </c>
      <c r="AT30" s="27">
        <f t="shared" ca="1" si="14"/>
        <v>97.914328480153145</v>
      </c>
    </row>
    <row r="31" spans="2:46" x14ac:dyDescent="0.35">
      <c r="B31" t="s">
        <v>86</v>
      </c>
      <c r="D31" s="29"/>
      <c r="E31" s="29"/>
      <c r="F31" s="29"/>
      <c r="G31" s="29"/>
      <c r="H31" s="29"/>
      <c r="J31">
        <f t="shared" ref="J31:AT31" ca="1" si="15">-J105</f>
        <v>-15</v>
      </c>
      <c r="K31">
        <f t="shared" ca="1" si="15"/>
        <v>-15</v>
      </c>
      <c r="L31">
        <f t="shared" ca="1" si="15"/>
        <v>-15</v>
      </c>
      <c r="M31">
        <f t="shared" ca="1" si="15"/>
        <v>-15</v>
      </c>
      <c r="N31">
        <f t="shared" ca="1" si="15"/>
        <v>-15</v>
      </c>
      <c r="O31">
        <f t="shared" ca="1" si="15"/>
        <v>-15</v>
      </c>
      <c r="P31">
        <f t="shared" ca="1" si="15"/>
        <v>-15</v>
      </c>
      <c r="Q31">
        <f t="shared" ca="1" si="15"/>
        <v>-15</v>
      </c>
      <c r="R31">
        <f t="shared" ca="1" si="15"/>
        <v>-15</v>
      </c>
      <c r="S31">
        <f t="shared" ca="1" si="15"/>
        <v>-15</v>
      </c>
      <c r="T31">
        <f t="shared" ca="1" si="15"/>
        <v>-15</v>
      </c>
      <c r="U31">
        <f t="shared" ca="1" si="15"/>
        <v>-15</v>
      </c>
      <c r="V31">
        <f t="shared" ca="1" si="15"/>
        <v>-15</v>
      </c>
      <c r="W31">
        <f t="shared" ca="1" si="15"/>
        <v>-15</v>
      </c>
      <c r="X31">
        <f t="shared" ca="1" si="15"/>
        <v>-15</v>
      </c>
      <c r="Y31">
        <f t="shared" ca="1" si="15"/>
        <v>-15</v>
      </c>
      <c r="Z31">
        <f t="shared" ca="1" si="15"/>
        <v>-15</v>
      </c>
      <c r="AA31">
        <f t="shared" ca="1" si="15"/>
        <v>-15</v>
      </c>
      <c r="AB31">
        <f t="shared" ca="1" si="15"/>
        <v>-15</v>
      </c>
      <c r="AC31">
        <f t="shared" ca="1" si="15"/>
        <v>-15</v>
      </c>
      <c r="AD31">
        <f t="shared" ca="1" si="15"/>
        <v>-15</v>
      </c>
      <c r="AE31">
        <f t="shared" ca="1" si="15"/>
        <v>-15</v>
      </c>
      <c r="AF31">
        <f t="shared" ca="1" si="15"/>
        <v>-15</v>
      </c>
      <c r="AG31">
        <f t="shared" ca="1" si="15"/>
        <v>-15</v>
      </c>
      <c r="AH31">
        <f t="shared" ca="1" si="15"/>
        <v>-15</v>
      </c>
      <c r="AI31">
        <f t="shared" ca="1" si="15"/>
        <v>-15</v>
      </c>
      <c r="AJ31">
        <f t="shared" ca="1" si="15"/>
        <v>-15</v>
      </c>
      <c r="AK31">
        <f t="shared" ca="1" si="15"/>
        <v>-15</v>
      </c>
      <c r="AL31">
        <f t="shared" ca="1" si="15"/>
        <v>-15</v>
      </c>
      <c r="AM31">
        <f t="shared" ca="1" si="15"/>
        <v>-15</v>
      </c>
      <c r="AN31">
        <f t="shared" ca="1" si="15"/>
        <v>-15</v>
      </c>
      <c r="AO31">
        <f t="shared" ca="1" si="15"/>
        <v>-15</v>
      </c>
      <c r="AP31">
        <f t="shared" ca="1" si="15"/>
        <v>-15</v>
      </c>
      <c r="AQ31">
        <f t="shared" ca="1" si="15"/>
        <v>-15</v>
      </c>
      <c r="AR31">
        <f t="shared" ca="1" si="15"/>
        <v>-15</v>
      </c>
      <c r="AS31">
        <f t="shared" ca="1" si="15"/>
        <v>-15</v>
      </c>
      <c r="AT31">
        <f t="shared" ca="1" si="15"/>
        <v>-15</v>
      </c>
    </row>
    <row r="32" spans="2:46" x14ac:dyDescent="0.35">
      <c r="B32" s="26" t="s">
        <v>87</v>
      </c>
      <c r="D32" s="29"/>
      <c r="E32" s="29"/>
      <c r="F32" s="29"/>
      <c r="G32" s="29"/>
      <c r="H32" s="29"/>
      <c r="J32" s="27">
        <f t="shared" ref="J32:AT32" ca="1" si="16">SUM(J30,J31)</f>
        <v>6.6840876436781969</v>
      </c>
      <c r="K32" s="27">
        <f t="shared" ca="1" si="16"/>
        <v>8.7047647270114794</v>
      </c>
      <c r="L32" s="27">
        <f t="shared" ca="1" si="16"/>
        <v>10.753873768678204</v>
      </c>
      <c r="M32" s="27">
        <f t="shared" ca="1" si="16"/>
        <v>12.83180626245462</v>
      </c>
      <c r="N32" s="27">
        <f t="shared" ca="1" si="16"/>
        <v>162.13653871672494</v>
      </c>
      <c r="O32" s="27">
        <f t="shared" ca="1" si="16"/>
        <v>17.075734209840533</v>
      </c>
      <c r="P32" s="27">
        <f t="shared" ca="1" si="16"/>
        <v>19.242539494281885</v>
      </c>
      <c r="Q32" s="27">
        <f t="shared" ca="1" si="16"/>
        <v>98.288992401798396</v>
      </c>
      <c r="R32" s="27">
        <f t="shared" ca="1" si="16"/>
        <v>23.667898614468584</v>
      </c>
      <c r="S32" s="27">
        <f t="shared" ca="1" si="16"/>
        <v>25.927295674875836</v>
      </c>
      <c r="T32" s="27">
        <f t="shared" ca="1" si="16"/>
        <v>28.218409424119017</v>
      </c>
      <c r="U32" s="27">
        <f t="shared" ca="1" si="16"/>
        <v>193.34197248586526</v>
      </c>
      <c r="V32" s="27">
        <f t="shared" ca="1" si="16"/>
        <v>28.37706769951464</v>
      </c>
      <c r="W32" s="27">
        <f t="shared" ca="1" si="16"/>
        <v>30.727016753445838</v>
      </c>
      <c r="X32" s="27">
        <f t="shared" ca="1" si="16"/>
        <v>33.11007286639196</v>
      </c>
      <c r="Y32" s="27">
        <f t="shared" ca="1" si="16"/>
        <v>35.526692295560395</v>
      </c>
      <c r="Z32" s="27">
        <f t="shared" ca="1" si="16"/>
        <v>208.83829567347971</v>
      </c>
      <c r="AA32" s="27">
        <f t="shared" ca="1" si="16"/>
        <v>40.462477183354167</v>
      </c>
      <c r="AB32" s="27">
        <f t="shared" ca="1" si="16"/>
        <v>42.982586459038771</v>
      </c>
      <c r="AC32" s="27">
        <f t="shared" ca="1" si="16"/>
        <v>134.74903062701196</v>
      </c>
      <c r="AD32" s="27">
        <f t="shared" ca="1" si="16"/>
        <v>48.129646439663134</v>
      </c>
      <c r="AE32" s="27">
        <f t="shared" ca="1" si="16"/>
        <v>50.757579903665203</v>
      </c>
      <c r="AF32" s="27">
        <f t="shared" ca="1" si="16"/>
        <v>53.422448646636383</v>
      </c>
      <c r="AG32" s="27">
        <f t="shared" ca="1" si="16"/>
        <v>245.13314242629679</v>
      </c>
      <c r="AH32" s="27">
        <f t="shared" ca="1" si="16"/>
        <v>53.599793682494493</v>
      </c>
      <c r="AI32" s="27">
        <f t="shared" ca="1" si="16"/>
        <v>56.332455238245359</v>
      </c>
      <c r="AJ32" s="27">
        <f t="shared" ca="1" si="16"/>
        <v>59.103665691357463</v>
      </c>
      <c r="AK32" s="27">
        <f t="shared" ca="1" si="16"/>
        <v>61.913956757136361</v>
      </c>
      <c r="AL32" s="27">
        <f t="shared" ca="1" si="16"/>
        <v>263.06760543639467</v>
      </c>
      <c r="AM32" s="27">
        <f t="shared" ca="1" si="16"/>
        <v>67.653943797378702</v>
      </c>
      <c r="AN32" s="27">
        <f t="shared" ca="1" si="16"/>
        <v>70.584739704362903</v>
      </c>
      <c r="AO32" s="27">
        <f t="shared" ca="1" si="16"/>
        <v>177.10515977541365</v>
      </c>
      <c r="AP32" s="27">
        <f t="shared" ca="1" si="16"/>
        <v>76.570742356716835</v>
      </c>
      <c r="AQ32" s="27">
        <f t="shared" ca="1" si="16"/>
        <v>79.627094445447597</v>
      </c>
      <c r="AR32" s="27">
        <f t="shared" ca="1" si="16"/>
        <v>82.726456909901742</v>
      </c>
      <c r="AS32" s="27">
        <f t="shared" ca="1" si="16"/>
        <v>305.27871476236584</v>
      </c>
      <c r="AT32" s="27">
        <f t="shared" ca="1" si="16"/>
        <v>82.914328480153145</v>
      </c>
    </row>
    <row r="33" spans="2:46" x14ac:dyDescent="0.35">
      <c r="B33" t="s">
        <v>70</v>
      </c>
      <c r="D33" s="29"/>
      <c r="E33" s="29"/>
      <c r="F33" s="29"/>
      <c r="G33" s="29"/>
      <c r="H33" s="29"/>
      <c r="J33" s="30">
        <f t="shared" ref="J33:AT33" ca="1" si="17">-J151</f>
        <v>0</v>
      </c>
      <c r="K33" s="30">
        <f t="shared" ca="1" si="17"/>
        <v>0</v>
      </c>
      <c r="L33" s="30">
        <f t="shared" ca="1" si="17"/>
        <v>0</v>
      </c>
      <c r="M33" s="30">
        <f t="shared" ca="1" si="17"/>
        <v>0</v>
      </c>
      <c r="N33" s="30">
        <f t="shared" ca="1" si="17"/>
        <v>-10.222214223709489</v>
      </c>
      <c r="O33" s="30">
        <f t="shared" ca="1" si="17"/>
        <v>-3.4151468419681068</v>
      </c>
      <c r="P33" s="30">
        <f t="shared" ca="1" si="17"/>
        <v>-3.8485078988563775</v>
      </c>
      <c r="Q33" s="30">
        <f t="shared" ca="1" si="17"/>
        <v>-19.657798480359681</v>
      </c>
      <c r="R33" s="30">
        <f t="shared" ca="1" si="17"/>
        <v>-4.7335797228937171</v>
      </c>
      <c r="S33" s="30">
        <f t="shared" ca="1" si="17"/>
        <v>-5.1854591349751677</v>
      </c>
      <c r="T33" s="30">
        <f t="shared" ca="1" si="17"/>
        <v>-5.6436818848238035</v>
      </c>
      <c r="U33" s="30">
        <f t="shared" ca="1" si="17"/>
        <v>-38.668394497173054</v>
      </c>
      <c r="V33" s="30">
        <f t="shared" ca="1" si="17"/>
        <v>-5.6754135399029284</v>
      </c>
      <c r="W33" s="30">
        <f t="shared" ca="1" si="17"/>
        <v>-6.1454033506891683</v>
      </c>
      <c r="X33" s="30">
        <f t="shared" ca="1" si="17"/>
        <v>-6.6220145732783919</v>
      </c>
      <c r="Y33" s="30">
        <f t="shared" ca="1" si="17"/>
        <v>-7.1053384591120796</v>
      </c>
      <c r="Z33" s="30">
        <f t="shared" ca="1" si="17"/>
        <v>-41.767659134695947</v>
      </c>
      <c r="AA33" s="30">
        <f t="shared" ca="1" si="17"/>
        <v>-8.0924954366708342</v>
      </c>
      <c r="AB33" s="30">
        <f t="shared" ca="1" si="17"/>
        <v>-8.5965172918077553</v>
      </c>
      <c r="AC33" s="30">
        <f t="shared" ca="1" si="17"/>
        <v>-26.949806125402393</v>
      </c>
      <c r="AD33" s="30">
        <f t="shared" ca="1" si="17"/>
        <v>-9.6259292879326281</v>
      </c>
      <c r="AE33" s="30">
        <f t="shared" ca="1" si="17"/>
        <v>-10.151515980733041</v>
      </c>
      <c r="AF33" s="30">
        <f t="shared" ca="1" si="17"/>
        <v>-10.684489729327277</v>
      </c>
      <c r="AG33" s="30">
        <f t="shared" ca="1" si="17"/>
        <v>-49.026628485259359</v>
      </c>
      <c r="AH33" s="30">
        <f t="shared" ca="1" si="17"/>
        <v>-10.719958736498899</v>
      </c>
      <c r="AI33" s="30">
        <f t="shared" ca="1" si="17"/>
        <v>-11.266491047649072</v>
      </c>
      <c r="AJ33" s="30">
        <f t="shared" ca="1" si="17"/>
        <v>-11.820733138271493</v>
      </c>
      <c r="AK33" s="30">
        <f t="shared" ca="1" si="17"/>
        <v>-12.382791351427272</v>
      </c>
      <c r="AL33" s="30">
        <f t="shared" ca="1" si="17"/>
        <v>-52.61352108727894</v>
      </c>
      <c r="AM33" s="30">
        <f t="shared" ca="1" si="17"/>
        <v>-13.53078875947574</v>
      </c>
      <c r="AN33" s="30">
        <f t="shared" ca="1" si="17"/>
        <v>-14.116947940872581</v>
      </c>
      <c r="AO33" s="30">
        <f t="shared" ca="1" si="17"/>
        <v>-35.421031955082732</v>
      </c>
      <c r="AP33" s="30">
        <f t="shared" ca="1" si="17"/>
        <v>-15.314148471343367</v>
      </c>
      <c r="AQ33" s="30">
        <f t="shared" ca="1" si="17"/>
        <v>-15.925418889089521</v>
      </c>
      <c r="AR33" s="30">
        <f t="shared" ca="1" si="17"/>
        <v>-16.545291381980348</v>
      </c>
      <c r="AS33" s="30">
        <f t="shared" ca="1" si="17"/>
        <v>-61.055742952473167</v>
      </c>
      <c r="AT33" s="30">
        <f t="shared" ca="1" si="17"/>
        <v>-16.58286569603063</v>
      </c>
    </row>
    <row r="34" spans="2:46" s="41" customFormat="1" x14ac:dyDescent="0.35">
      <c r="B34" s="41" t="s">
        <v>88</v>
      </c>
      <c r="J34" s="41">
        <f t="shared" ref="J34:AT34" ca="1" si="18">SUM(J32,J33)</f>
        <v>6.6840876436781969</v>
      </c>
      <c r="K34" s="41">
        <f t="shared" ca="1" si="18"/>
        <v>8.7047647270114794</v>
      </c>
      <c r="L34" s="41">
        <f t="shared" ca="1" si="18"/>
        <v>10.753873768678204</v>
      </c>
      <c r="M34" s="41">
        <f t="shared" ca="1" si="18"/>
        <v>12.83180626245462</v>
      </c>
      <c r="N34" s="41">
        <f t="shared" ca="1" si="18"/>
        <v>151.91432449301544</v>
      </c>
      <c r="O34" s="41">
        <f t="shared" ca="1" si="18"/>
        <v>13.660587367872427</v>
      </c>
      <c r="P34" s="41">
        <f t="shared" ca="1" si="18"/>
        <v>15.394031595425508</v>
      </c>
      <c r="Q34" s="41">
        <f t="shared" ca="1" si="18"/>
        <v>78.631193921438722</v>
      </c>
      <c r="R34" s="41">
        <f t="shared" ca="1" si="18"/>
        <v>18.934318891574868</v>
      </c>
      <c r="S34" s="41">
        <f t="shared" ca="1" si="18"/>
        <v>20.741836539900667</v>
      </c>
      <c r="T34" s="41">
        <f t="shared" ca="1" si="18"/>
        <v>22.574727539295214</v>
      </c>
      <c r="U34" s="41">
        <f t="shared" ca="1" si="18"/>
        <v>154.67357798869222</v>
      </c>
      <c r="V34" s="41">
        <f t="shared" ca="1" si="18"/>
        <v>22.701654159611714</v>
      </c>
      <c r="W34" s="41">
        <f t="shared" ca="1" si="18"/>
        <v>24.58161340275667</v>
      </c>
      <c r="X34" s="41">
        <f t="shared" ca="1" si="18"/>
        <v>26.488058293113568</v>
      </c>
      <c r="Y34" s="41">
        <f t="shared" ca="1" si="18"/>
        <v>28.421353836448315</v>
      </c>
      <c r="Z34" s="41">
        <f t="shared" ca="1" si="18"/>
        <v>167.07063653878376</v>
      </c>
      <c r="AA34" s="41">
        <f t="shared" ca="1" si="18"/>
        <v>32.369981746683337</v>
      </c>
      <c r="AB34" s="41">
        <f t="shared" ca="1" si="18"/>
        <v>34.386069167231014</v>
      </c>
      <c r="AC34" s="41">
        <f t="shared" ca="1" si="18"/>
        <v>107.79922450160957</v>
      </c>
      <c r="AD34" s="41">
        <f t="shared" ca="1" si="18"/>
        <v>38.503717151730505</v>
      </c>
      <c r="AE34" s="41">
        <f t="shared" ca="1" si="18"/>
        <v>40.606063922932165</v>
      </c>
      <c r="AF34" s="41">
        <f t="shared" ca="1" si="18"/>
        <v>42.737958917309108</v>
      </c>
      <c r="AG34" s="41">
        <f t="shared" ca="1" si="18"/>
        <v>196.10651394103743</v>
      </c>
      <c r="AH34" s="41">
        <f t="shared" ca="1" si="18"/>
        <v>42.879834945995597</v>
      </c>
      <c r="AI34" s="41">
        <f t="shared" ca="1" si="18"/>
        <v>45.06596419059629</v>
      </c>
      <c r="AJ34" s="41">
        <f t="shared" ca="1" si="18"/>
        <v>47.282932553085971</v>
      </c>
      <c r="AK34" s="41">
        <f t="shared" ca="1" si="18"/>
        <v>49.531165405709089</v>
      </c>
      <c r="AL34" s="41">
        <f t="shared" ca="1" si="18"/>
        <v>210.45408434911573</v>
      </c>
      <c r="AM34" s="41">
        <f t="shared" ca="1" si="18"/>
        <v>54.123155037902961</v>
      </c>
      <c r="AN34" s="41">
        <f t="shared" ca="1" si="18"/>
        <v>56.467791763490325</v>
      </c>
      <c r="AO34" s="41">
        <f t="shared" ca="1" si="18"/>
        <v>141.68412782033093</v>
      </c>
      <c r="AP34" s="41">
        <f t="shared" ca="1" si="18"/>
        <v>61.256593885373469</v>
      </c>
      <c r="AQ34" s="41">
        <f t="shared" ca="1" si="18"/>
        <v>63.701675556358076</v>
      </c>
      <c r="AR34" s="41">
        <f t="shared" ca="1" si="18"/>
        <v>66.181165527921394</v>
      </c>
      <c r="AS34" s="41">
        <f t="shared" ca="1" si="18"/>
        <v>244.22297180989267</v>
      </c>
      <c r="AT34" s="41">
        <f t="shared" ca="1" si="18"/>
        <v>66.331462784122522</v>
      </c>
    </row>
    <row r="35" spans="2:46" x14ac:dyDescent="0.35">
      <c r="D35" s="29"/>
      <c r="E35" s="29"/>
      <c r="F35" s="29"/>
      <c r="G35" s="29"/>
      <c r="H35" s="29"/>
    </row>
    <row r="36" spans="2:46" s="1" customFormat="1" ht="15" customHeight="1" thickBot="1" x14ac:dyDescent="0.4">
      <c r="B36" s="1" t="s">
        <v>20</v>
      </c>
      <c r="D36" s="2"/>
      <c r="E36" s="2"/>
      <c r="F36" s="2"/>
      <c r="G36" s="2"/>
      <c r="H36" s="2"/>
    </row>
    <row r="37" spans="2:46" x14ac:dyDescent="0.35">
      <c r="B37" t="s">
        <v>89</v>
      </c>
      <c r="C37" t="s">
        <v>42</v>
      </c>
      <c r="D37" s="4"/>
      <c r="E37" s="4"/>
      <c r="F37" s="4"/>
      <c r="G37" s="4"/>
      <c r="H37" s="4"/>
      <c r="J37" s="78">
        <f t="shared" ref="J37:AT37" ca="1" si="19">J39/J38</f>
        <v>62500</v>
      </c>
      <c r="K37" s="78">
        <f t="shared" ca="1" si="19"/>
        <v>63125</v>
      </c>
      <c r="L37" s="78">
        <f t="shared" ca="1" si="19"/>
        <v>63756.25</v>
      </c>
      <c r="M37" s="78">
        <f t="shared" ca="1" si="19"/>
        <v>64393.812499999985</v>
      </c>
      <c r="N37" s="78">
        <f t="shared" ca="1" si="19"/>
        <v>130075.50125</v>
      </c>
      <c r="O37" s="78">
        <f t="shared" ca="1" si="19"/>
        <v>65688.128131249992</v>
      </c>
      <c r="P37" s="78">
        <f t="shared" ca="1" si="19"/>
        <v>66345.009412562489</v>
      </c>
      <c r="Q37" s="78">
        <f t="shared" ca="1" si="19"/>
        <v>100512.68926003217</v>
      </c>
      <c r="R37" s="78">
        <f t="shared" ca="1" si="19"/>
        <v>67678.544101754989</v>
      </c>
      <c r="S37" s="78">
        <f t="shared" ca="1" si="19"/>
        <v>68355.329542772553</v>
      </c>
      <c r="T37" s="78">
        <f t="shared" ca="1" si="19"/>
        <v>69038.882838200268</v>
      </c>
      <c r="U37" s="78">
        <f t="shared" ca="1" si="19"/>
        <v>139458.54333316453</v>
      </c>
      <c r="V37" s="78">
        <f t="shared" ca="1" si="19"/>
        <v>70426.564383248086</v>
      </c>
      <c r="W37" s="78">
        <f t="shared" ca="1" si="19"/>
        <v>71130.830027080563</v>
      </c>
      <c r="X37" s="78">
        <f t="shared" ca="1" si="19"/>
        <v>71842.138327351393</v>
      </c>
      <c r="Y37" s="78">
        <f t="shared" ca="1" si="19"/>
        <v>72560.55971062489</v>
      </c>
      <c r="Z37" s="78">
        <f t="shared" ca="1" si="19"/>
        <v>146572.3306154623</v>
      </c>
      <c r="AA37" s="78">
        <f t="shared" ca="1" si="19"/>
        <v>74019.026960808449</v>
      </c>
      <c r="AB37" s="78">
        <f t="shared" ca="1" si="19"/>
        <v>74759.217230416543</v>
      </c>
      <c r="AC37" s="78">
        <f t="shared" ca="1" si="19"/>
        <v>113260.21410408104</v>
      </c>
      <c r="AD37" s="78">
        <f t="shared" ca="1" si="19"/>
        <v>76261.877496747911</v>
      </c>
      <c r="AE37" s="78">
        <f t="shared" ca="1" si="19"/>
        <v>77024.496271715383</v>
      </c>
      <c r="AF37" s="78">
        <f t="shared" ca="1" si="19"/>
        <v>77794.741234432542</v>
      </c>
      <c r="AG37" s="78">
        <f t="shared" ca="1" si="19"/>
        <v>157145.37729355376</v>
      </c>
      <c r="AH37" s="78">
        <f t="shared" ca="1" si="19"/>
        <v>79358.415533244639</v>
      </c>
      <c r="AI37" s="78">
        <f t="shared" ca="1" si="19"/>
        <v>80151.999688577082</v>
      </c>
      <c r="AJ37" s="78">
        <f t="shared" ca="1" si="19"/>
        <v>80953.519685462845</v>
      </c>
      <c r="AK37" s="78">
        <f t="shared" ca="1" si="19"/>
        <v>81763.05488231749</v>
      </c>
      <c r="AL37" s="78">
        <f t="shared" ca="1" si="19"/>
        <v>165161.37086228133</v>
      </c>
      <c r="AM37" s="78">
        <f t="shared" ca="1" si="19"/>
        <v>83406.49228545207</v>
      </c>
      <c r="AN37" s="78">
        <f t="shared" ca="1" si="19"/>
        <v>84240.557208306593</v>
      </c>
      <c r="AO37" s="78">
        <f t="shared" ca="1" si="19"/>
        <v>127624.44417058448</v>
      </c>
      <c r="AP37" s="78">
        <f t="shared" ca="1" si="19"/>
        <v>85933.792408193563</v>
      </c>
      <c r="AQ37" s="78">
        <f t="shared" ca="1" si="19"/>
        <v>86793.130332275512</v>
      </c>
      <c r="AR37" s="78">
        <f t="shared" ca="1" si="19"/>
        <v>87661.061635598249</v>
      </c>
      <c r="AS37" s="78">
        <f t="shared" ca="1" si="19"/>
        <v>177075.34450390848</v>
      </c>
      <c r="AT37" s="78">
        <f t="shared" ca="1" si="19"/>
        <v>89423.048974473786</v>
      </c>
    </row>
    <row r="38" spans="2:46" x14ac:dyDescent="0.35">
      <c r="B38" t="s">
        <v>21</v>
      </c>
      <c r="E38" s="4"/>
      <c r="F38" s="4"/>
      <c r="G38" s="4"/>
      <c r="H38" s="4"/>
      <c r="J38" s="9">
        <f ca="1">Предпосылки!$C31</f>
        <v>5.0000000000000001E-3</v>
      </c>
      <c r="K38" s="9">
        <f ca="1">Предпосылки!$C31</f>
        <v>5.0000000000000001E-3</v>
      </c>
      <c r="L38" s="9">
        <f ca="1">Предпосылки!$C31</f>
        <v>5.0000000000000001E-3</v>
      </c>
      <c r="M38" s="9">
        <f ca="1">Предпосылки!$C31</f>
        <v>5.0000000000000001E-3</v>
      </c>
      <c r="N38" s="9">
        <f ca="1">Предпосылки!$C31</f>
        <v>5.0000000000000001E-3</v>
      </c>
      <c r="O38" s="9">
        <f ca="1">Предпосылки!$C31</f>
        <v>5.0000000000000001E-3</v>
      </c>
      <c r="P38" s="9">
        <f ca="1">Предпосылки!$C31</f>
        <v>5.0000000000000001E-3</v>
      </c>
      <c r="Q38" s="9">
        <f ca="1">Предпосылки!$C31</f>
        <v>5.0000000000000001E-3</v>
      </c>
      <c r="R38" s="9">
        <f ca="1">Предпосылки!$C31</f>
        <v>5.0000000000000001E-3</v>
      </c>
      <c r="S38" s="9">
        <f ca="1">Предпосылки!$C31</f>
        <v>5.0000000000000001E-3</v>
      </c>
      <c r="T38" s="9">
        <f ca="1">Предпосылки!$C31</f>
        <v>5.0000000000000001E-3</v>
      </c>
      <c r="U38" s="9">
        <f ca="1">Предпосылки!$C31</f>
        <v>5.0000000000000001E-3</v>
      </c>
      <c r="V38" s="9">
        <f ca="1">Предпосылки!$C31</f>
        <v>5.0000000000000001E-3</v>
      </c>
      <c r="W38" s="9">
        <f ca="1">Предпосылки!$C31</f>
        <v>5.0000000000000001E-3</v>
      </c>
      <c r="X38" s="9">
        <f ca="1">Предпосылки!$C31</f>
        <v>5.0000000000000001E-3</v>
      </c>
      <c r="Y38" s="9">
        <f ca="1">Предпосылки!$C31</f>
        <v>5.0000000000000001E-3</v>
      </c>
      <c r="Z38" s="9">
        <f ca="1">Предпосылки!$C31</f>
        <v>5.0000000000000001E-3</v>
      </c>
      <c r="AA38" s="9">
        <f ca="1">Предпосылки!$C31</f>
        <v>5.0000000000000001E-3</v>
      </c>
      <c r="AB38" s="9">
        <f ca="1">Предпосылки!$C31</f>
        <v>5.0000000000000001E-3</v>
      </c>
      <c r="AC38" s="9">
        <f ca="1">Предпосылки!$C31</f>
        <v>5.0000000000000001E-3</v>
      </c>
      <c r="AD38" s="9">
        <f ca="1">Предпосылки!$C31</f>
        <v>5.0000000000000001E-3</v>
      </c>
      <c r="AE38" s="9">
        <f ca="1">Предпосылки!$C31</f>
        <v>5.0000000000000001E-3</v>
      </c>
      <c r="AF38" s="9">
        <f ca="1">Предпосылки!$C31</f>
        <v>5.0000000000000001E-3</v>
      </c>
      <c r="AG38" s="9">
        <f ca="1">Предпосылки!$C31</f>
        <v>5.0000000000000001E-3</v>
      </c>
      <c r="AH38" s="9">
        <f ca="1">Предпосылки!$C31</f>
        <v>5.0000000000000001E-3</v>
      </c>
      <c r="AI38" s="9">
        <f ca="1">Предпосылки!$C31</f>
        <v>5.0000000000000001E-3</v>
      </c>
      <c r="AJ38" s="9">
        <f ca="1">Предпосылки!$C31</f>
        <v>5.0000000000000001E-3</v>
      </c>
      <c r="AK38" s="9">
        <f ca="1">Предпосылки!$C31</f>
        <v>5.0000000000000001E-3</v>
      </c>
      <c r="AL38" s="9">
        <f ca="1">Предпосылки!$C31</f>
        <v>5.0000000000000001E-3</v>
      </c>
      <c r="AM38" s="9">
        <f ca="1">Предпосылки!$C31</f>
        <v>5.0000000000000001E-3</v>
      </c>
      <c r="AN38" s="9">
        <f ca="1">Предпосылки!$C31</f>
        <v>5.0000000000000001E-3</v>
      </c>
      <c r="AO38" s="9">
        <f ca="1">Предпосылки!$C31</f>
        <v>5.0000000000000001E-3</v>
      </c>
      <c r="AP38" s="9">
        <f ca="1">Предпосылки!$C31</f>
        <v>5.0000000000000001E-3</v>
      </c>
      <c r="AQ38" s="9">
        <f ca="1">Предпосылки!$C31</f>
        <v>5.0000000000000001E-3</v>
      </c>
      <c r="AR38" s="9">
        <f ca="1">Предпосылки!$C31</f>
        <v>5.0000000000000001E-3</v>
      </c>
      <c r="AS38" s="9">
        <f ca="1">Предпосылки!$C31</f>
        <v>5.0000000000000001E-3</v>
      </c>
      <c r="AT38" s="9">
        <f ca="1">Предпосылки!$C31</f>
        <v>5.0000000000000001E-3</v>
      </c>
    </row>
    <row r="39" spans="2:46" x14ac:dyDescent="0.35">
      <c r="B39" t="s">
        <v>90</v>
      </c>
      <c r="C39" t="s">
        <v>42</v>
      </c>
      <c r="D39" s="4"/>
      <c r="E39" s="4"/>
      <c r="F39" s="4"/>
      <c r="G39" s="4"/>
      <c r="H39" s="4"/>
      <c r="J39" s="78">
        <f t="shared" ref="J39:AT39" ca="1" si="20">J41/J40</f>
        <v>312.5</v>
      </c>
      <c r="K39" s="78">
        <f t="shared" ca="1" si="20"/>
        <v>315.625</v>
      </c>
      <c r="L39" s="78">
        <f t="shared" ca="1" si="20"/>
        <v>318.78125</v>
      </c>
      <c r="M39" s="78">
        <f t="shared" ca="1" si="20"/>
        <v>321.96906249999995</v>
      </c>
      <c r="N39" s="78">
        <f t="shared" ca="1" si="20"/>
        <v>650.37750625000001</v>
      </c>
      <c r="O39" s="78">
        <f t="shared" ca="1" si="20"/>
        <v>328.44064065624997</v>
      </c>
      <c r="P39" s="78">
        <f t="shared" ca="1" si="20"/>
        <v>331.72504706281245</v>
      </c>
      <c r="Q39" s="78">
        <f t="shared" ca="1" si="20"/>
        <v>502.56344630016088</v>
      </c>
      <c r="R39" s="78">
        <f t="shared" ca="1" si="20"/>
        <v>338.39272050877497</v>
      </c>
      <c r="S39" s="78">
        <f t="shared" ca="1" si="20"/>
        <v>341.77664771386276</v>
      </c>
      <c r="T39" s="78">
        <f t="shared" ca="1" si="20"/>
        <v>345.19441419100133</v>
      </c>
      <c r="U39" s="78">
        <f t="shared" ca="1" si="20"/>
        <v>697.2927166658227</v>
      </c>
      <c r="V39" s="78">
        <f t="shared" ca="1" si="20"/>
        <v>352.13282191624046</v>
      </c>
      <c r="W39" s="78">
        <f t="shared" ca="1" si="20"/>
        <v>355.65415013540286</v>
      </c>
      <c r="X39" s="78">
        <f t="shared" ca="1" si="20"/>
        <v>359.21069163675696</v>
      </c>
      <c r="Y39" s="78">
        <f t="shared" ca="1" si="20"/>
        <v>362.80279855312449</v>
      </c>
      <c r="Z39" s="78">
        <f t="shared" ca="1" si="20"/>
        <v>732.86165307731153</v>
      </c>
      <c r="AA39" s="78">
        <f t="shared" ca="1" si="20"/>
        <v>370.09513480404229</v>
      </c>
      <c r="AB39" s="78">
        <f t="shared" ca="1" si="20"/>
        <v>373.79608615208275</v>
      </c>
      <c r="AC39" s="78">
        <f t="shared" ca="1" si="20"/>
        <v>566.30107052040523</v>
      </c>
      <c r="AD39" s="78">
        <f t="shared" ca="1" si="20"/>
        <v>381.30938748373956</v>
      </c>
      <c r="AE39" s="78">
        <f t="shared" ca="1" si="20"/>
        <v>385.12248135857692</v>
      </c>
      <c r="AF39" s="78">
        <f t="shared" ca="1" si="20"/>
        <v>388.97370617216274</v>
      </c>
      <c r="AG39" s="78">
        <f t="shared" ca="1" si="20"/>
        <v>785.72688646776874</v>
      </c>
      <c r="AH39" s="78">
        <f t="shared" ca="1" si="20"/>
        <v>396.79207766622324</v>
      </c>
      <c r="AI39" s="78">
        <f t="shared" ca="1" si="20"/>
        <v>400.75999844288543</v>
      </c>
      <c r="AJ39" s="78">
        <f t="shared" ca="1" si="20"/>
        <v>404.76759842731423</v>
      </c>
      <c r="AK39" s="78">
        <f t="shared" ca="1" si="20"/>
        <v>408.81527441158744</v>
      </c>
      <c r="AL39" s="78">
        <f t="shared" ca="1" si="20"/>
        <v>825.8068543114066</v>
      </c>
      <c r="AM39" s="78">
        <f t="shared" ca="1" si="20"/>
        <v>417.03246142726033</v>
      </c>
      <c r="AN39" s="78">
        <f t="shared" ca="1" si="20"/>
        <v>421.20278604153299</v>
      </c>
      <c r="AO39" s="78">
        <f t="shared" ca="1" si="20"/>
        <v>638.1222208529224</v>
      </c>
      <c r="AP39" s="78">
        <f t="shared" ca="1" si="20"/>
        <v>429.66896204096781</v>
      </c>
      <c r="AQ39" s="78">
        <f t="shared" ca="1" si="20"/>
        <v>433.96565166137754</v>
      </c>
      <c r="AR39" s="78">
        <f t="shared" ca="1" si="20"/>
        <v>438.30530817799126</v>
      </c>
      <c r="AS39" s="78">
        <f t="shared" ca="1" si="20"/>
        <v>885.37672251954234</v>
      </c>
      <c r="AT39" s="78">
        <f t="shared" ca="1" si="20"/>
        <v>447.11524487236892</v>
      </c>
    </row>
    <row r="40" spans="2:46" x14ac:dyDescent="0.35">
      <c r="B40" t="s">
        <v>22</v>
      </c>
      <c r="E40" s="4"/>
      <c r="F40" s="4"/>
      <c r="G40" s="4"/>
      <c r="H40" s="4"/>
      <c r="J40" s="9">
        <f ca="1">Предпосылки!$C32</f>
        <v>0.2</v>
      </c>
      <c r="K40" s="9">
        <f ca="1">Предпосылки!$C32</f>
        <v>0.2</v>
      </c>
      <c r="L40" s="9">
        <f ca="1">Предпосылки!$C32</f>
        <v>0.2</v>
      </c>
      <c r="M40" s="9">
        <f ca="1">Предпосылки!$C32</f>
        <v>0.2</v>
      </c>
      <c r="N40" s="9">
        <f ca="1">Предпосылки!$C32</f>
        <v>0.2</v>
      </c>
      <c r="O40" s="9">
        <f ca="1">Предпосылки!$C32</f>
        <v>0.2</v>
      </c>
      <c r="P40" s="9">
        <f ca="1">Предпосылки!$C32</f>
        <v>0.2</v>
      </c>
      <c r="Q40" s="9">
        <f ca="1">Предпосылки!$C32</f>
        <v>0.2</v>
      </c>
      <c r="R40" s="9">
        <f ca="1">Предпосылки!$C32</f>
        <v>0.2</v>
      </c>
      <c r="S40" s="9">
        <f ca="1">Предпосылки!$C32</f>
        <v>0.2</v>
      </c>
      <c r="T40" s="9">
        <f ca="1">Предпосылки!$C32</f>
        <v>0.2</v>
      </c>
      <c r="U40" s="9">
        <f ca="1">Предпосылки!$C32</f>
        <v>0.2</v>
      </c>
      <c r="V40" s="9">
        <f ca="1">Предпосылки!$C32</f>
        <v>0.2</v>
      </c>
      <c r="W40" s="9">
        <f ca="1">Предпосылки!$C32</f>
        <v>0.2</v>
      </c>
      <c r="X40" s="9">
        <f ca="1">Предпосылки!$C32</f>
        <v>0.2</v>
      </c>
      <c r="Y40" s="9">
        <f ca="1">Предпосылки!$C32</f>
        <v>0.2</v>
      </c>
      <c r="Z40" s="9">
        <f ca="1">Предпосылки!$C32</f>
        <v>0.2</v>
      </c>
      <c r="AA40" s="9">
        <f ca="1">Предпосылки!$C32</f>
        <v>0.2</v>
      </c>
      <c r="AB40" s="9">
        <f ca="1">Предпосылки!$C32</f>
        <v>0.2</v>
      </c>
      <c r="AC40" s="9">
        <f ca="1">Предпосылки!$C32</f>
        <v>0.2</v>
      </c>
      <c r="AD40" s="9">
        <f ca="1">Предпосылки!$C32</f>
        <v>0.2</v>
      </c>
      <c r="AE40" s="9">
        <f ca="1">Предпосылки!$C32</f>
        <v>0.2</v>
      </c>
      <c r="AF40" s="9">
        <f ca="1">Предпосылки!$C32</f>
        <v>0.2</v>
      </c>
      <c r="AG40" s="9">
        <f ca="1">Предпосылки!$C32</f>
        <v>0.2</v>
      </c>
      <c r="AH40" s="9">
        <f ca="1">Предпосылки!$C32</f>
        <v>0.2</v>
      </c>
      <c r="AI40" s="9">
        <f ca="1">Предпосылки!$C32</f>
        <v>0.2</v>
      </c>
      <c r="AJ40" s="9">
        <f ca="1">Предпосылки!$C32</f>
        <v>0.2</v>
      </c>
      <c r="AK40" s="9">
        <f ca="1">Предпосылки!$C32</f>
        <v>0.2</v>
      </c>
      <c r="AL40" s="9">
        <f ca="1">Предпосылки!$C32</f>
        <v>0.2</v>
      </c>
      <c r="AM40" s="9">
        <f ca="1">Предпосылки!$C32</f>
        <v>0.2</v>
      </c>
      <c r="AN40" s="9">
        <f ca="1">Предпосылки!$C32</f>
        <v>0.2</v>
      </c>
      <c r="AO40" s="9">
        <f ca="1">Предпосылки!$C32</f>
        <v>0.2</v>
      </c>
      <c r="AP40" s="9">
        <f ca="1">Предпосылки!$C32</f>
        <v>0.2</v>
      </c>
      <c r="AQ40" s="9">
        <f ca="1">Предпосылки!$C32</f>
        <v>0.2</v>
      </c>
      <c r="AR40" s="9">
        <f ca="1">Предпосылки!$C32</f>
        <v>0.2</v>
      </c>
      <c r="AS40" s="9">
        <f ca="1">Предпосылки!$C32</f>
        <v>0.2</v>
      </c>
      <c r="AT40" s="9">
        <f ca="1">Предпосылки!$C32</f>
        <v>0.2</v>
      </c>
    </row>
    <row r="41" spans="2:46" x14ac:dyDescent="0.35">
      <c r="B41" t="s">
        <v>91</v>
      </c>
      <c r="C41" t="s">
        <v>42</v>
      </c>
      <c r="D41" s="4"/>
      <c r="E41" s="4"/>
      <c r="F41" s="4"/>
      <c r="G41" s="4"/>
      <c r="H41" s="4"/>
      <c r="J41" s="78">
        <f t="shared" ref="J41:AT41" ca="1" si="21">J43/J42</f>
        <v>62.5</v>
      </c>
      <c r="K41" s="78">
        <f t="shared" ca="1" si="21"/>
        <v>63.125</v>
      </c>
      <c r="L41" s="78">
        <f t="shared" ca="1" si="21"/>
        <v>63.756250000000001</v>
      </c>
      <c r="M41" s="78">
        <f t="shared" ca="1" si="21"/>
        <v>64.393812499999996</v>
      </c>
      <c r="N41" s="78">
        <f t="shared" ca="1" si="21"/>
        <v>130.07550125</v>
      </c>
      <c r="O41" s="78">
        <f t="shared" ca="1" si="21"/>
        <v>65.688128131249996</v>
      </c>
      <c r="P41" s="78">
        <f t="shared" ca="1" si="21"/>
        <v>66.34500941256249</v>
      </c>
      <c r="Q41" s="78">
        <f t="shared" ca="1" si="21"/>
        <v>100.51268926003218</v>
      </c>
      <c r="R41" s="78">
        <f t="shared" ca="1" si="21"/>
        <v>67.678544101754994</v>
      </c>
      <c r="S41" s="78">
        <f t="shared" ca="1" si="21"/>
        <v>68.355329542772552</v>
      </c>
      <c r="T41" s="78">
        <f t="shared" ca="1" si="21"/>
        <v>69.038882838200266</v>
      </c>
      <c r="U41" s="78">
        <f t="shared" ca="1" si="21"/>
        <v>139.45854333316456</v>
      </c>
      <c r="V41" s="78">
        <f t="shared" ca="1" si="21"/>
        <v>70.426564383248092</v>
      </c>
      <c r="W41" s="78">
        <f t="shared" ca="1" si="21"/>
        <v>71.130830027080577</v>
      </c>
      <c r="X41" s="78">
        <f t="shared" ca="1" si="21"/>
        <v>71.842138327351392</v>
      </c>
      <c r="Y41" s="78">
        <f t="shared" ca="1" si="21"/>
        <v>72.560559710624901</v>
      </c>
      <c r="Z41" s="78">
        <f t="shared" ca="1" si="21"/>
        <v>146.57233061546231</v>
      </c>
      <c r="AA41" s="78">
        <f t="shared" ca="1" si="21"/>
        <v>74.019026960808461</v>
      </c>
      <c r="AB41" s="78">
        <f t="shared" ca="1" si="21"/>
        <v>74.759217230416553</v>
      </c>
      <c r="AC41" s="78">
        <f t="shared" ca="1" si="21"/>
        <v>113.26021410408106</v>
      </c>
      <c r="AD41" s="78">
        <f t="shared" ca="1" si="21"/>
        <v>76.261877496747914</v>
      </c>
      <c r="AE41" s="78">
        <f t="shared" ca="1" si="21"/>
        <v>77.024496271715392</v>
      </c>
      <c r="AF41" s="78">
        <f t="shared" ca="1" si="21"/>
        <v>77.79474123443255</v>
      </c>
      <c r="AG41" s="78">
        <f t="shared" ca="1" si="21"/>
        <v>157.14537729355376</v>
      </c>
      <c r="AH41" s="78">
        <f t="shared" ca="1" si="21"/>
        <v>79.358415533244653</v>
      </c>
      <c r="AI41" s="78">
        <f t="shared" ca="1" si="21"/>
        <v>80.151999688577092</v>
      </c>
      <c r="AJ41" s="78">
        <f t="shared" ca="1" si="21"/>
        <v>80.953519685462851</v>
      </c>
      <c r="AK41" s="78">
        <f t="shared" ca="1" si="21"/>
        <v>81.763054882317491</v>
      </c>
      <c r="AL41" s="78">
        <f t="shared" ca="1" si="21"/>
        <v>165.16137086228133</v>
      </c>
      <c r="AM41" s="78">
        <f t="shared" ca="1" si="21"/>
        <v>83.406492285452074</v>
      </c>
      <c r="AN41" s="78">
        <f t="shared" ca="1" si="21"/>
        <v>84.240557208306598</v>
      </c>
      <c r="AO41" s="78">
        <f t="shared" ca="1" si="21"/>
        <v>127.6244441705845</v>
      </c>
      <c r="AP41" s="78">
        <f t="shared" ca="1" si="21"/>
        <v>85.933792408193568</v>
      </c>
      <c r="AQ41" s="78">
        <f t="shared" ca="1" si="21"/>
        <v>86.79313033227551</v>
      </c>
      <c r="AR41" s="78">
        <f t="shared" ca="1" si="21"/>
        <v>87.661061635598259</v>
      </c>
      <c r="AS41" s="78">
        <f t="shared" ca="1" si="21"/>
        <v>177.07534450390847</v>
      </c>
      <c r="AT41" s="78">
        <f t="shared" ca="1" si="21"/>
        <v>89.423048974473787</v>
      </c>
    </row>
    <row r="42" spans="2:46" x14ac:dyDescent="0.35">
      <c r="B42" t="s">
        <v>23</v>
      </c>
      <c r="E42" s="4"/>
      <c r="F42" s="4"/>
      <c r="G42" s="4"/>
      <c r="H42" s="4"/>
      <c r="J42" s="9">
        <f ca="1">Предпосылки!$C33</f>
        <v>0.8</v>
      </c>
      <c r="K42" s="9">
        <f ca="1">Предпосылки!$C33</f>
        <v>0.8</v>
      </c>
      <c r="L42" s="9">
        <f ca="1">Предпосылки!$C33</f>
        <v>0.8</v>
      </c>
      <c r="M42" s="9">
        <f ca="1">Предпосылки!$C33</f>
        <v>0.8</v>
      </c>
      <c r="N42" s="9">
        <f ca="1">Предпосылки!$C33</f>
        <v>0.8</v>
      </c>
      <c r="O42" s="9">
        <f ca="1">Предпосылки!$C33</f>
        <v>0.8</v>
      </c>
      <c r="P42" s="9">
        <f ca="1">Предпосылки!$C33</f>
        <v>0.8</v>
      </c>
      <c r="Q42" s="9">
        <f ca="1">Предпосылки!$C33</f>
        <v>0.8</v>
      </c>
      <c r="R42" s="9">
        <f ca="1">Предпосылки!$C33</f>
        <v>0.8</v>
      </c>
      <c r="S42" s="9">
        <f ca="1">Предпосылки!$C33</f>
        <v>0.8</v>
      </c>
      <c r="T42" s="9">
        <f ca="1">Предпосылки!$C33</f>
        <v>0.8</v>
      </c>
      <c r="U42" s="9">
        <f ca="1">Предпосылки!$C33</f>
        <v>0.8</v>
      </c>
      <c r="V42" s="9">
        <f ca="1">Предпосылки!$C33</f>
        <v>0.8</v>
      </c>
      <c r="W42" s="9">
        <f ca="1">Предпосылки!$C33</f>
        <v>0.8</v>
      </c>
      <c r="X42" s="9">
        <f ca="1">Предпосылки!$C33</f>
        <v>0.8</v>
      </c>
      <c r="Y42" s="9">
        <f ca="1">Предпосылки!$C33</f>
        <v>0.8</v>
      </c>
      <c r="Z42" s="9">
        <f ca="1">Предпосылки!$C33</f>
        <v>0.8</v>
      </c>
      <c r="AA42" s="9">
        <f ca="1">Предпосылки!$C33</f>
        <v>0.8</v>
      </c>
      <c r="AB42" s="9">
        <f ca="1">Предпосылки!$C33</f>
        <v>0.8</v>
      </c>
      <c r="AC42" s="9">
        <f ca="1">Предпосылки!$C33</f>
        <v>0.8</v>
      </c>
      <c r="AD42" s="9">
        <f ca="1">Предпосылки!$C33</f>
        <v>0.8</v>
      </c>
      <c r="AE42" s="9">
        <f ca="1">Предпосылки!$C33</f>
        <v>0.8</v>
      </c>
      <c r="AF42" s="9">
        <f ca="1">Предпосылки!$C33</f>
        <v>0.8</v>
      </c>
      <c r="AG42" s="9">
        <f ca="1">Предпосылки!$C33</f>
        <v>0.8</v>
      </c>
      <c r="AH42" s="9">
        <f ca="1">Предпосылки!$C33</f>
        <v>0.8</v>
      </c>
      <c r="AI42" s="9">
        <f ca="1">Предпосылки!$C33</f>
        <v>0.8</v>
      </c>
      <c r="AJ42" s="9">
        <f ca="1">Предпосылки!$C33</f>
        <v>0.8</v>
      </c>
      <c r="AK42" s="9">
        <f ca="1">Предпосылки!$C33</f>
        <v>0.8</v>
      </c>
      <c r="AL42" s="9">
        <f ca="1">Предпосылки!$C33</f>
        <v>0.8</v>
      </c>
      <c r="AM42" s="9">
        <f ca="1">Предпосылки!$C33</f>
        <v>0.8</v>
      </c>
      <c r="AN42" s="9">
        <f ca="1">Предпосылки!$C33</f>
        <v>0.8</v>
      </c>
      <c r="AO42" s="9">
        <f ca="1">Предпосылки!$C33</f>
        <v>0.8</v>
      </c>
      <c r="AP42" s="9">
        <f ca="1">Предпосылки!$C33</f>
        <v>0.8</v>
      </c>
      <c r="AQ42" s="9">
        <f ca="1">Предпосылки!$C33</f>
        <v>0.8</v>
      </c>
      <c r="AR42" s="9">
        <f ca="1">Предпосылки!$C33</f>
        <v>0.8</v>
      </c>
      <c r="AS42" s="9">
        <f ca="1">Предпосылки!$C33</f>
        <v>0.8</v>
      </c>
      <c r="AT42" s="9">
        <f ca="1">Предпосылки!$C33</f>
        <v>0.8</v>
      </c>
    </row>
    <row r="43" spans="2:46" s="17" customFormat="1" x14ac:dyDescent="0.35">
      <c r="B43" s="15" t="s">
        <v>92</v>
      </c>
      <c r="C43" s="17" t="s">
        <v>42</v>
      </c>
      <c r="D43" s="16"/>
      <c r="E43" s="16"/>
      <c r="F43" s="16"/>
      <c r="G43" s="16"/>
      <c r="H43" s="16"/>
      <c r="J43" s="19">
        <f t="shared" ref="J43:AT43" ca="1" si="22">J7</f>
        <v>50</v>
      </c>
      <c r="K43" s="19">
        <f t="shared" ca="1" si="22"/>
        <v>50.5</v>
      </c>
      <c r="L43" s="19">
        <f t="shared" ca="1" si="22"/>
        <v>51.005000000000003</v>
      </c>
      <c r="M43" s="19">
        <f t="shared" ca="1" si="22"/>
        <v>51.515050000000002</v>
      </c>
      <c r="N43" s="19">
        <f t="shared" ca="1" si="22"/>
        <v>104.060401</v>
      </c>
      <c r="O43" s="19">
        <f t="shared" ca="1" si="22"/>
        <v>52.550502504999997</v>
      </c>
      <c r="P43" s="19">
        <f t="shared" ca="1" si="22"/>
        <v>53.076007530049999</v>
      </c>
      <c r="Q43" s="19">
        <f t="shared" ca="1" si="22"/>
        <v>80.41015140802574</v>
      </c>
      <c r="R43" s="19">
        <f t="shared" ca="1" si="22"/>
        <v>54.142835281404004</v>
      </c>
      <c r="S43" s="19">
        <f t="shared" ca="1" si="22"/>
        <v>54.684263634218041</v>
      </c>
      <c r="T43" s="19">
        <f t="shared" ca="1" si="22"/>
        <v>55.231106270560218</v>
      </c>
      <c r="U43" s="19">
        <f t="shared" ca="1" si="22"/>
        <v>111.56683466653165</v>
      </c>
      <c r="V43" s="19">
        <f t="shared" ca="1" si="22"/>
        <v>56.341251506598482</v>
      </c>
      <c r="W43" s="19">
        <f t="shared" ca="1" si="22"/>
        <v>56.904664021664466</v>
      </c>
      <c r="X43" s="19">
        <f t="shared" ca="1" si="22"/>
        <v>57.473710661881114</v>
      </c>
      <c r="Y43" s="19">
        <f t="shared" ca="1" si="22"/>
        <v>58.048447768499926</v>
      </c>
      <c r="Z43" s="19">
        <f t="shared" ca="1" si="22"/>
        <v>117.25786449236985</v>
      </c>
      <c r="AA43" s="19">
        <f t="shared" ca="1" si="22"/>
        <v>59.215221568646776</v>
      </c>
      <c r="AB43" s="19">
        <f t="shared" ca="1" si="22"/>
        <v>59.807373784333244</v>
      </c>
      <c r="AC43" s="19">
        <f t="shared" ca="1" si="22"/>
        <v>90.608171283264852</v>
      </c>
      <c r="AD43" s="19">
        <f t="shared" ca="1" si="22"/>
        <v>61.009501997398338</v>
      </c>
      <c r="AE43" s="19">
        <f t="shared" ca="1" si="22"/>
        <v>61.619597017372321</v>
      </c>
      <c r="AF43" s="19">
        <f t="shared" ca="1" si="22"/>
        <v>62.235792987546041</v>
      </c>
      <c r="AG43" s="19">
        <f t="shared" ca="1" si="22"/>
        <v>125.71630183484301</v>
      </c>
      <c r="AH43" s="19">
        <f t="shared" ca="1" si="22"/>
        <v>63.486732426595722</v>
      </c>
      <c r="AI43" s="19">
        <f t="shared" ca="1" si="22"/>
        <v>64.121599750861677</v>
      </c>
      <c r="AJ43" s="19">
        <f t="shared" ca="1" si="22"/>
        <v>64.762815748370286</v>
      </c>
      <c r="AK43" s="19">
        <f t="shared" ca="1" si="22"/>
        <v>65.410443905853995</v>
      </c>
      <c r="AL43" s="19">
        <f t="shared" ca="1" si="22"/>
        <v>132.12909668982508</v>
      </c>
      <c r="AM43" s="19">
        <f t="shared" ca="1" si="22"/>
        <v>66.725193828361668</v>
      </c>
      <c r="AN43" s="19">
        <f t="shared" ca="1" si="22"/>
        <v>67.392445766645281</v>
      </c>
      <c r="AO43" s="19">
        <f t="shared" ca="1" si="22"/>
        <v>102.0995553364676</v>
      </c>
      <c r="AP43" s="19">
        <f t="shared" ca="1" si="22"/>
        <v>68.747033926554863</v>
      </c>
      <c r="AQ43" s="19">
        <f t="shared" ca="1" si="22"/>
        <v>69.434504265820408</v>
      </c>
      <c r="AR43" s="19">
        <f t="shared" ca="1" si="22"/>
        <v>70.128849308478607</v>
      </c>
      <c r="AS43" s="19">
        <f t="shared" ca="1" si="22"/>
        <v>141.66027560312679</v>
      </c>
      <c r="AT43" s="19">
        <f t="shared" ca="1" si="22"/>
        <v>71.538439179579029</v>
      </c>
    </row>
    <row r="44" spans="2:46" x14ac:dyDescent="0.35">
      <c r="J44" s="8"/>
    </row>
    <row r="45" spans="2:46" s="1" customFormat="1" ht="15" customHeight="1" thickBot="1" x14ac:dyDescent="0.4">
      <c r="B45" s="1" t="s">
        <v>24</v>
      </c>
      <c r="D45" s="2"/>
      <c r="E45" s="2"/>
      <c r="F45" s="2"/>
      <c r="G45" s="2"/>
      <c r="H45" s="2"/>
    </row>
    <row r="46" spans="2:46" x14ac:dyDescent="0.35">
      <c r="B46" t="s">
        <v>25</v>
      </c>
      <c r="C46" t="s">
        <v>26</v>
      </c>
      <c r="H46" s="29"/>
      <c r="J46" s="30">
        <f ca="1">IF(J$1=DATE(2026,1,1),Предпосылки!C37,IF(MOD(MONTH(J$1),Предпосылки!$C40)=Предпосылки!$C41,I46*Предпосылки!$C39+I46,I46))</f>
        <v>0.75</v>
      </c>
      <c r="K46" s="30">
        <f ca="1">IF(K$1=DATE(2026,1,1),Предпосылки!C39,IF(MOD(MONTH(K$1),Предпосылки!$C40)=Предпосылки!$C41,J46*Предпосылки!$C39+J46,J46))</f>
        <v>0.75</v>
      </c>
      <c r="L46" s="30">
        <f ca="1">IF(L$1=DATE(2026,1,1),Предпосылки!C40,IF(MOD(MONTH(L$1),Предпосылки!$C40)=Предпосылки!$C41,K46*Предпосылки!$C39+K46,K46))</f>
        <v>0.75</v>
      </c>
      <c r="M46" s="30">
        <f ca="1">IF(M$1=DATE(2026,1,1),Предпосылки!C41,IF(MOD(MONTH(M$1),Предпосылки!$C40)=Предпосылки!$C41,L46*Предпосылки!$C39+L46,L46))</f>
        <v>0.75</v>
      </c>
      <c r="N46" s="30">
        <f ca="1">IF(N$1=DATE(2026,1,1),H46,IF(MOD(MONTH(N$1),Предпосылки!$C40)=Предпосылки!$C41,M46*Предпосылки!$C39+M46,M46))</f>
        <v>0.75</v>
      </c>
      <c r="O46" s="30">
        <f ca="1">IF(O$1=DATE(2026,1,1),I46,IF(MOD(MONTH(O$1),Предпосылки!$C40)=Предпосылки!$C41,N46*Предпосылки!$C39+N46,N46))</f>
        <v>0.75</v>
      </c>
      <c r="P46" s="30">
        <f ca="1">IF(P$1=DATE(2026,1,1),J46,IF(MOD(MONTH(P$1),Предпосылки!$C40)=Предпосылки!$C41,O46*Предпосылки!$C39+O46,O46))</f>
        <v>0.75</v>
      </c>
      <c r="Q46" s="30">
        <f ca="1">IF(Q$1=DATE(2026,1,1),K46,IF(MOD(MONTH(Q$1),Предпосылки!$C40)=Предпосылки!$C41,P46*Предпосылки!$C39+P46,P46))</f>
        <v>0.75</v>
      </c>
      <c r="R46" s="30">
        <f ca="1">IF(R$1=DATE(2026,1,1),L46,IF(MOD(MONTH(R$1),Предпосылки!$C40)=Предпосылки!$C41,Q46*Предпосылки!$C39+Q46,Q46))</f>
        <v>0.75</v>
      </c>
      <c r="S46" s="30">
        <f ca="1">IF(S$1=DATE(2026,1,1),M46,IF(MOD(MONTH(S$1),Предпосылки!$C40)=Предпосылки!$C41,R46*Предпосылки!$C39+R46,R46))</f>
        <v>0.75</v>
      </c>
      <c r="T46" s="30">
        <f ca="1">IF(T$1=DATE(2026,1,1),N46,IF(MOD(MONTH(T$1),Предпосылки!$C40)=Предпосылки!$C41,S46*Предпосылки!$C39+S46,S46))</f>
        <v>0.75</v>
      </c>
      <c r="U46" s="30">
        <f ca="1">IF(U$1=DATE(2026,1,1),O46,IF(MOD(MONTH(U$1),Предпосылки!$C40)=Предпосылки!$C41,T46*Предпосылки!$C39+T46,T46))</f>
        <v>0.75</v>
      </c>
      <c r="V46" s="30">
        <f ca="1">IF(V$1=DATE(2026,1,1),P46,IF(MOD(MONTH(V$1),Предпосылки!$C40)=Предпосылки!$C41,U46*Предпосылки!$C39+U46,U46))</f>
        <v>0.78749999999999998</v>
      </c>
      <c r="W46" s="30">
        <f ca="1">IF(W$1=DATE(2026,1,1),Q46,IF(MOD(MONTH(W$1),Предпосылки!$C40)=Предпосылки!$C41,V46*Предпосылки!$C39+V46,V46))</f>
        <v>0.78749999999999998</v>
      </c>
      <c r="X46" s="30">
        <f ca="1">IF(X$1=DATE(2026,1,1),R46,IF(MOD(MONTH(X$1),Предпосылки!$C40)=Предпосылки!$C41,W46*Предпосылки!$C39+W46,W46))</f>
        <v>0.78749999999999998</v>
      </c>
      <c r="Y46" s="30">
        <f ca="1">IF(Y$1=DATE(2026,1,1),S46,IF(MOD(MONTH(Y$1),Предпосылки!$C40)=Предпосылки!$C41,X46*Предпосылки!$C39+X46,X46))</f>
        <v>0.78749999999999998</v>
      </c>
      <c r="Z46" s="30">
        <f ca="1">IF(Z$1=DATE(2026,1,1),T46,IF(MOD(MONTH(Z$1),Предпосылки!$C40)=Предпосылки!$C41,Y46*Предпосылки!$C39+Y46,Y46))</f>
        <v>0.78749999999999998</v>
      </c>
      <c r="AA46" s="30">
        <f ca="1">IF(AA$1=DATE(2026,1,1),U46,IF(MOD(MONTH(AA$1),Предпосылки!$C40)=Предпосылки!$C41,Z46*Предпосылки!$C39+Z46,Z46))</f>
        <v>0.78749999999999998</v>
      </c>
      <c r="AB46" s="30">
        <f ca="1">IF(AB$1=DATE(2026,1,1),V46,IF(MOD(MONTH(AB$1),Предпосылки!$C40)=Предпосылки!$C41,AA46*Предпосылки!$C39+AA46,AA46))</f>
        <v>0.78749999999999998</v>
      </c>
      <c r="AC46" s="30">
        <f ca="1">IF(AC$1=DATE(2026,1,1),W46,IF(MOD(MONTH(AC$1),Предпосылки!$C40)=Предпосылки!$C41,AB46*Предпосылки!$C39+AB46,AB46))</f>
        <v>0.78749999999999998</v>
      </c>
      <c r="AD46" s="30">
        <f ca="1">IF(AD$1=DATE(2026,1,1),X46,IF(MOD(MONTH(AD$1),Предпосылки!$C40)=Предпосылки!$C41,AC46*Предпосылки!$C39+AC46,AC46))</f>
        <v>0.78749999999999998</v>
      </c>
      <c r="AE46" s="30">
        <f ca="1">IF(AE$1=DATE(2026,1,1),Y46,IF(MOD(MONTH(AE$1),Предпосылки!$C40)=Предпосылки!$C41,AD46*Предпосылки!$C39+AD46,AD46))</f>
        <v>0.78749999999999998</v>
      </c>
      <c r="AF46" s="30">
        <f ca="1">IF(AF$1=DATE(2026,1,1),Z46,IF(MOD(MONTH(AF$1),Предпосылки!$C40)=Предпосылки!$C41,AE46*Предпосылки!$C39+AE46,AE46))</f>
        <v>0.78749999999999998</v>
      </c>
      <c r="AG46" s="30">
        <f ca="1">IF(AG$1=DATE(2026,1,1),AA46,IF(MOD(MONTH(AG$1),Предпосылки!$C40)=Предпосылки!$C41,AF46*Предпосылки!$C39+AF46,AF46))</f>
        <v>0.78749999999999998</v>
      </c>
      <c r="AH46" s="30">
        <f ca="1">IF(AH$1=DATE(2026,1,1),AB46,IF(MOD(MONTH(AH$1),Предпосылки!$C40)=Предпосылки!$C41,AG46*Предпосылки!$C39+AG46,AG46))</f>
        <v>0.82687500000000003</v>
      </c>
      <c r="AI46" s="30">
        <f ca="1">IF(AI$1=DATE(2026,1,1),AC46,IF(MOD(MONTH(AI$1),Предпосылки!$C40)=Предпосылки!$C41,AH46*Предпосылки!$C39+AH46,AH46))</f>
        <v>0.82687500000000003</v>
      </c>
      <c r="AJ46" s="30">
        <f ca="1">IF(AJ$1=DATE(2026,1,1),AD46,IF(MOD(MONTH(AJ$1),Предпосылки!$C40)=Предпосылки!$C41,AI46*Предпосылки!$C39+AI46,AI46))</f>
        <v>0.82687500000000003</v>
      </c>
      <c r="AK46" s="30">
        <f ca="1">IF(AK$1=DATE(2026,1,1),AE46,IF(MOD(MONTH(AK$1),Предпосылки!$C40)=Предпосылки!$C41,AJ46*Предпосылки!$C39+AJ46,AJ46))</f>
        <v>0.82687500000000003</v>
      </c>
      <c r="AL46" s="30">
        <f ca="1">IF(AL$1=DATE(2026,1,1),AF46,IF(MOD(MONTH(AL$1),Предпосылки!$C40)=Предпосылки!$C41,AK46*Предпосылки!$C39+AK46,AK46))</f>
        <v>0.82687500000000003</v>
      </c>
      <c r="AM46" s="30">
        <f ca="1">IF(AM$1=DATE(2026,1,1),AG46,IF(MOD(MONTH(AM$1),Предпосылки!$C40)=Предпосылки!$C41,AL46*Предпосылки!$C39+AL46,AL46))</f>
        <v>0.82687500000000003</v>
      </c>
      <c r="AN46" s="30">
        <f ca="1">IF(AN$1=DATE(2026,1,1),AH46,IF(MOD(MONTH(AN$1),Предпосылки!$C40)=Предпосылки!$C41,AM46*Предпосылки!$C39+AM46,AM46))</f>
        <v>0.82687500000000003</v>
      </c>
      <c r="AO46" s="30">
        <f ca="1">IF(AO$1=DATE(2026,1,1),AI46,IF(MOD(MONTH(AO$1),Предпосылки!$C40)=Предпосылки!$C41,AN46*Предпосылки!$C39+AN46,AN46))</f>
        <v>0.82687500000000003</v>
      </c>
      <c r="AP46" s="30">
        <f ca="1">IF(AP$1=DATE(2026,1,1),AJ46,IF(MOD(MONTH(AP$1),Предпосылки!$C40)=Предпосылки!$C41,AO46*Предпосылки!$C39+AO46,AO46))</f>
        <v>0.82687500000000003</v>
      </c>
      <c r="AQ46" s="30">
        <f ca="1">IF(AQ$1=DATE(2026,1,1),AK46,IF(MOD(MONTH(AQ$1),Предпосылки!$C40)=Предпосылки!$C41,AP46*Предпосылки!$C39+AP46,AP46))</f>
        <v>0.82687500000000003</v>
      </c>
      <c r="AR46" s="30">
        <f ca="1">IF(AR$1=DATE(2026,1,1),AL46,IF(MOD(MONTH(AR$1),Предпосылки!$C40)=Предпосылки!$C41,AQ46*Предпосылки!$C39+AQ46,AQ46))</f>
        <v>0.82687500000000003</v>
      </c>
      <c r="AS46" s="30">
        <f ca="1">IF(AS$1=DATE(2026,1,1),AM46,IF(MOD(MONTH(AS$1),Предпосылки!$C40)=Предпосылки!$C41,AR46*Предпосылки!$C39+AR46,AR46))</f>
        <v>0.82687500000000003</v>
      </c>
      <c r="AT46" s="30">
        <f ca="1">IF(AT$1=DATE(2026,1,1),AN46,IF(MOD(MONTH(AT$1),Предпосылки!$C40)=Предпосылки!$C41,AS46*Предпосылки!$C39+AS46,AS46))</f>
        <v>0.86821875000000004</v>
      </c>
    </row>
    <row r="47" spans="2:46" x14ac:dyDescent="0.35">
      <c r="D47" s="29"/>
      <c r="E47" s="29"/>
      <c r="F47" s="29"/>
      <c r="G47" s="29"/>
      <c r="H47" s="29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</row>
    <row r="48" spans="2:46" x14ac:dyDescent="0.35">
      <c r="B48" t="s">
        <v>93</v>
      </c>
      <c r="C48" t="s">
        <v>26</v>
      </c>
      <c r="E48" s="4"/>
      <c r="F48" s="29"/>
      <c r="G48" s="29"/>
      <c r="H48" s="29"/>
      <c r="J48" s="30">
        <f ca="1">J46/(1+Предпосылки!$C$38)</f>
        <v>0.625</v>
      </c>
      <c r="K48" s="30">
        <f ca="1">K46/(1+Предпосылки!$C$38)</f>
        <v>0.625</v>
      </c>
      <c r="L48" s="30">
        <f ca="1">L46/(1+Предпосылки!$C$38)</f>
        <v>0.625</v>
      </c>
      <c r="M48" s="30">
        <f ca="1">M46/(1+Предпосылки!$C$38)</f>
        <v>0.625</v>
      </c>
      <c r="N48" s="30">
        <f ca="1">N46/(1+Предпосылки!$C$38)</f>
        <v>0.625</v>
      </c>
      <c r="O48" s="30">
        <f ca="1">O46/(1+Предпосылки!$C$38)</f>
        <v>0.625</v>
      </c>
      <c r="P48" s="30">
        <f ca="1">P46/(1+Предпосылки!$C$38)</f>
        <v>0.625</v>
      </c>
      <c r="Q48" s="30">
        <f ca="1">Q46/(1+Предпосылки!$C$38)</f>
        <v>0.625</v>
      </c>
      <c r="R48" s="30">
        <f ca="1">R46/(1+Предпосылки!$C$38)</f>
        <v>0.625</v>
      </c>
      <c r="S48" s="30">
        <f ca="1">S46/(1+Предпосылки!$C$38)</f>
        <v>0.625</v>
      </c>
      <c r="T48" s="30">
        <f ca="1">T46/(1+Предпосылки!$C$38)</f>
        <v>0.625</v>
      </c>
      <c r="U48" s="30">
        <f ca="1">U46/(1+Предпосылки!$C$38)</f>
        <v>0.625</v>
      </c>
      <c r="V48" s="30">
        <f ca="1">V46/(1+Предпосылки!$C$38)</f>
        <v>0.65625</v>
      </c>
      <c r="W48" s="30">
        <f ca="1">W46/(1+Предпосылки!$C$38)</f>
        <v>0.65625</v>
      </c>
      <c r="X48" s="30">
        <f ca="1">X46/(1+Предпосылки!$C$38)</f>
        <v>0.65625</v>
      </c>
      <c r="Y48" s="30">
        <f ca="1">Y46/(1+Предпосылки!$C$38)</f>
        <v>0.65625</v>
      </c>
      <c r="Z48" s="30">
        <f ca="1">Z46/(1+Предпосылки!$C$38)</f>
        <v>0.65625</v>
      </c>
      <c r="AA48" s="30">
        <f ca="1">AA46/(1+Предпосылки!$C$38)</f>
        <v>0.65625</v>
      </c>
      <c r="AB48" s="30">
        <f ca="1">AB46/(1+Предпосылки!$C$38)</f>
        <v>0.65625</v>
      </c>
      <c r="AC48" s="30">
        <f ca="1">AC46/(1+Предпосылки!$C$38)</f>
        <v>0.65625</v>
      </c>
      <c r="AD48" s="30">
        <f ca="1">AD46/(1+Предпосылки!$C$38)</f>
        <v>0.65625</v>
      </c>
      <c r="AE48" s="30">
        <f ca="1">AE46/(1+Предпосылки!$C$38)</f>
        <v>0.65625</v>
      </c>
      <c r="AF48" s="30">
        <f ca="1">AF46/(1+Предпосылки!$C$38)</f>
        <v>0.65625</v>
      </c>
      <c r="AG48" s="30">
        <f ca="1">AG46/(1+Предпосылки!$C$38)</f>
        <v>0.65625</v>
      </c>
      <c r="AH48" s="30">
        <f ca="1">AH46/(1+Предпосылки!$C$38)</f>
        <v>0.68906250000000002</v>
      </c>
      <c r="AI48" s="30">
        <f ca="1">AI46/(1+Предпосылки!$C$38)</f>
        <v>0.68906250000000002</v>
      </c>
      <c r="AJ48" s="30">
        <f ca="1">AJ46/(1+Предпосылки!$C$38)</f>
        <v>0.68906250000000002</v>
      </c>
      <c r="AK48" s="30">
        <f ca="1">AK46/(1+Предпосылки!$C$38)</f>
        <v>0.68906250000000002</v>
      </c>
      <c r="AL48" s="30">
        <f ca="1">AL46/(1+Предпосылки!$C$38)</f>
        <v>0.68906250000000002</v>
      </c>
      <c r="AM48" s="30">
        <f ca="1">AM46/(1+Предпосылки!$C$38)</f>
        <v>0.68906250000000002</v>
      </c>
      <c r="AN48" s="30">
        <f ca="1">AN46/(1+Предпосылки!$C$38)</f>
        <v>0.68906250000000002</v>
      </c>
      <c r="AO48" s="30">
        <f ca="1">AO46/(1+Предпосылки!$C$38)</f>
        <v>0.68906250000000002</v>
      </c>
      <c r="AP48" s="30">
        <f ca="1">AP46/(1+Предпосылки!$C$38)</f>
        <v>0.68906250000000002</v>
      </c>
      <c r="AQ48" s="30">
        <f ca="1">AQ46/(1+Предпосылки!$C$38)</f>
        <v>0.68906250000000002</v>
      </c>
      <c r="AR48" s="30">
        <f ca="1">AR46/(1+Предпосылки!$C$38)</f>
        <v>0.68906250000000002</v>
      </c>
      <c r="AS48" s="30">
        <f ca="1">AS46/(1+Предпосылки!$C$38)</f>
        <v>0.68906250000000002</v>
      </c>
      <c r="AT48" s="30">
        <f ca="1">AT46/(1+Предпосылки!$C$38)</f>
        <v>0.72351562500000011</v>
      </c>
    </row>
    <row r="49" spans="2:46" x14ac:dyDescent="0.35">
      <c r="D49" s="29"/>
      <c r="E49" s="29"/>
      <c r="F49" s="29"/>
      <c r="G49" s="29"/>
      <c r="H49" s="29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</row>
    <row r="50" spans="2:46" x14ac:dyDescent="0.35">
      <c r="B50" t="s">
        <v>94</v>
      </c>
      <c r="C50" t="s">
        <v>42</v>
      </c>
      <c r="D50" s="4"/>
      <c r="E50" s="4"/>
      <c r="F50" s="4"/>
      <c r="G50" s="4"/>
      <c r="H50" s="4"/>
      <c r="J50" s="78">
        <f t="shared" ref="J50:AT50" ca="1" si="23">J37</f>
        <v>62500</v>
      </c>
      <c r="K50" s="78">
        <f t="shared" ca="1" si="23"/>
        <v>63125</v>
      </c>
      <c r="L50" s="78">
        <f t="shared" ca="1" si="23"/>
        <v>63756.25</v>
      </c>
      <c r="M50" s="78">
        <f t="shared" ca="1" si="23"/>
        <v>64393.812499999985</v>
      </c>
      <c r="N50" s="78">
        <f t="shared" ca="1" si="23"/>
        <v>130075.50125</v>
      </c>
      <c r="O50" s="78">
        <f t="shared" ca="1" si="23"/>
        <v>65688.128131249992</v>
      </c>
      <c r="P50" s="78">
        <f t="shared" ca="1" si="23"/>
        <v>66345.009412562489</v>
      </c>
      <c r="Q50" s="78">
        <f t="shared" ca="1" si="23"/>
        <v>100512.68926003217</v>
      </c>
      <c r="R50" s="78">
        <f t="shared" ca="1" si="23"/>
        <v>67678.544101754989</v>
      </c>
      <c r="S50" s="78">
        <f t="shared" ca="1" si="23"/>
        <v>68355.329542772553</v>
      </c>
      <c r="T50" s="78">
        <f t="shared" ca="1" si="23"/>
        <v>69038.882838200268</v>
      </c>
      <c r="U50" s="78">
        <f t="shared" ca="1" si="23"/>
        <v>139458.54333316453</v>
      </c>
      <c r="V50" s="78">
        <f t="shared" ca="1" si="23"/>
        <v>70426.564383248086</v>
      </c>
      <c r="W50" s="78">
        <f t="shared" ca="1" si="23"/>
        <v>71130.830027080563</v>
      </c>
      <c r="X50" s="78">
        <f t="shared" ca="1" si="23"/>
        <v>71842.138327351393</v>
      </c>
      <c r="Y50" s="78">
        <f t="shared" ca="1" si="23"/>
        <v>72560.55971062489</v>
      </c>
      <c r="Z50" s="78">
        <f t="shared" ca="1" si="23"/>
        <v>146572.3306154623</v>
      </c>
      <c r="AA50" s="78">
        <f t="shared" ca="1" si="23"/>
        <v>74019.026960808449</v>
      </c>
      <c r="AB50" s="78">
        <f t="shared" ca="1" si="23"/>
        <v>74759.217230416543</v>
      </c>
      <c r="AC50" s="78">
        <f t="shared" ca="1" si="23"/>
        <v>113260.21410408104</v>
      </c>
      <c r="AD50" s="78">
        <f t="shared" ca="1" si="23"/>
        <v>76261.877496747911</v>
      </c>
      <c r="AE50" s="78">
        <f t="shared" ca="1" si="23"/>
        <v>77024.496271715383</v>
      </c>
      <c r="AF50" s="78">
        <f t="shared" ca="1" si="23"/>
        <v>77794.741234432542</v>
      </c>
      <c r="AG50" s="78">
        <f t="shared" ca="1" si="23"/>
        <v>157145.37729355376</v>
      </c>
      <c r="AH50" s="78">
        <f t="shared" ca="1" si="23"/>
        <v>79358.415533244639</v>
      </c>
      <c r="AI50" s="78">
        <f t="shared" ca="1" si="23"/>
        <v>80151.999688577082</v>
      </c>
      <c r="AJ50" s="78">
        <f t="shared" ca="1" si="23"/>
        <v>80953.519685462845</v>
      </c>
      <c r="AK50" s="78">
        <f t="shared" ca="1" si="23"/>
        <v>81763.05488231749</v>
      </c>
      <c r="AL50" s="78">
        <f t="shared" ca="1" si="23"/>
        <v>165161.37086228133</v>
      </c>
      <c r="AM50" s="78">
        <f t="shared" ca="1" si="23"/>
        <v>83406.49228545207</v>
      </c>
      <c r="AN50" s="78">
        <f t="shared" ca="1" si="23"/>
        <v>84240.557208306593</v>
      </c>
      <c r="AO50" s="78">
        <f t="shared" ca="1" si="23"/>
        <v>127624.44417058448</v>
      </c>
      <c r="AP50" s="78">
        <f t="shared" ca="1" si="23"/>
        <v>85933.792408193563</v>
      </c>
      <c r="AQ50" s="78">
        <f t="shared" ca="1" si="23"/>
        <v>86793.130332275512</v>
      </c>
      <c r="AR50" s="78">
        <f t="shared" ca="1" si="23"/>
        <v>87661.061635598249</v>
      </c>
      <c r="AS50" s="78">
        <f t="shared" ca="1" si="23"/>
        <v>177075.34450390848</v>
      </c>
      <c r="AT50" s="78">
        <f t="shared" ca="1" si="23"/>
        <v>89423.048974473786</v>
      </c>
    </row>
    <row r="51" spans="2:46" x14ac:dyDescent="0.35">
      <c r="D51" s="29"/>
      <c r="E51" s="29"/>
      <c r="F51" s="29"/>
      <c r="G51" s="29"/>
      <c r="H51" s="29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</row>
    <row r="52" spans="2:46" x14ac:dyDescent="0.35">
      <c r="B52" t="s">
        <v>95</v>
      </c>
      <c r="C52" t="s">
        <v>14</v>
      </c>
      <c r="D52" s="29"/>
      <c r="E52" s="29"/>
      <c r="F52" s="29"/>
      <c r="G52" s="29"/>
      <c r="H52" s="29"/>
      <c r="J52" s="20">
        <f t="shared" ref="J52:AT52" ca="1" si="24">J46*J50/1000</f>
        <v>46.875</v>
      </c>
      <c r="K52" s="20">
        <f t="shared" ca="1" si="24"/>
        <v>47.34375</v>
      </c>
      <c r="L52" s="20">
        <f t="shared" ca="1" si="24"/>
        <v>47.817187500000003</v>
      </c>
      <c r="M52" s="20">
        <f t="shared" ca="1" si="24"/>
        <v>48.295359374999983</v>
      </c>
      <c r="N52" s="20">
        <f t="shared" ca="1" si="24"/>
        <v>97.556625937500002</v>
      </c>
      <c r="O52" s="20">
        <f t="shared" ca="1" si="24"/>
        <v>49.266096098437501</v>
      </c>
      <c r="P52" s="20">
        <f t="shared" ca="1" si="24"/>
        <v>49.758757059421868</v>
      </c>
      <c r="Q52" s="20">
        <f t="shared" ca="1" si="24"/>
        <v>75.384516945024131</v>
      </c>
      <c r="R52" s="20">
        <f t="shared" ca="1" si="24"/>
        <v>50.758908076316239</v>
      </c>
      <c r="S52" s="20">
        <f t="shared" ca="1" si="24"/>
        <v>51.266497157079414</v>
      </c>
      <c r="T52" s="20">
        <f t="shared" ca="1" si="24"/>
        <v>51.779162128650206</v>
      </c>
      <c r="U52" s="20">
        <f t="shared" ca="1" si="24"/>
        <v>104.5939074998734</v>
      </c>
      <c r="V52" s="20">
        <f t="shared" ca="1" si="24"/>
        <v>55.460919451807868</v>
      </c>
      <c r="W52" s="20">
        <f t="shared" ca="1" si="24"/>
        <v>56.01552864632594</v>
      </c>
      <c r="X52" s="20">
        <f t="shared" ca="1" si="24"/>
        <v>56.575683932789225</v>
      </c>
      <c r="Y52" s="20">
        <f t="shared" ca="1" si="24"/>
        <v>57.1414407721171</v>
      </c>
      <c r="Z52" s="20">
        <f t="shared" ca="1" si="24"/>
        <v>115.42571035967656</v>
      </c>
      <c r="AA52" s="20">
        <f t="shared" ca="1" si="24"/>
        <v>58.289983731636653</v>
      </c>
      <c r="AB52" s="20">
        <f t="shared" ca="1" si="24"/>
        <v>58.872883568953021</v>
      </c>
      <c r="AC52" s="20">
        <f t="shared" ca="1" si="24"/>
        <v>89.192418606963813</v>
      </c>
      <c r="AD52" s="20">
        <f t="shared" ca="1" si="24"/>
        <v>60.056228528688983</v>
      </c>
      <c r="AE52" s="20">
        <f t="shared" ca="1" si="24"/>
        <v>60.656790813975867</v>
      </c>
      <c r="AF52" s="20">
        <f t="shared" ca="1" si="24"/>
        <v>61.263358722115626</v>
      </c>
      <c r="AG52" s="20">
        <f t="shared" ca="1" si="24"/>
        <v>123.75198461867357</v>
      </c>
      <c r="AH52" s="20">
        <f t="shared" ca="1" si="24"/>
        <v>65.619489844051671</v>
      </c>
      <c r="AI52" s="20">
        <f t="shared" ca="1" si="24"/>
        <v>66.275684742492174</v>
      </c>
      <c r="AJ52" s="20">
        <f t="shared" ca="1" si="24"/>
        <v>66.93844158991709</v>
      </c>
      <c r="AK52" s="20">
        <f t="shared" ca="1" si="24"/>
        <v>67.607826005816264</v>
      </c>
      <c r="AL52" s="20">
        <f t="shared" ca="1" si="24"/>
        <v>136.56780853174888</v>
      </c>
      <c r="AM52" s="20">
        <f t="shared" ca="1" si="24"/>
        <v>68.966743308533182</v>
      </c>
      <c r="AN52" s="20">
        <f t="shared" ca="1" si="24"/>
        <v>69.656410741618515</v>
      </c>
      <c r="AO52" s="20">
        <f t="shared" ca="1" si="24"/>
        <v>105.52946227355204</v>
      </c>
      <c r="AP52" s="20">
        <f t="shared" ca="1" si="24"/>
        <v>71.056504597525048</v>
      </c>
      <c r="AQ52" s="20">
        <f t="shared" ca="1" si="24"/>
        <v>71.767069643500321</v>
      </c>
      <c r="AR52" s="20">
        <f t="shared" ca="1" si="24"/>
        <v>72.4847403399353</v>
      </c>
      <c r="AS52" s="20">
        <f t="shared" ca="1" si="24"/>
        <v>146.41917548666933</v>
      </c>
      <c r="AT52" s="20">
        <f t="shared" ca="1" si="24"/>
        <v>77.638767801806424</v>
      </c>
    </row>
    <row r="53" spans="2:46" x14ac:dyDescent="0.35">
      <c r="D53" s="29"/>
      <c r="E53" s="29"/>
      <c r="F53" s="29"/>
      <c r="G53" s="29"/>
      <c r="H53" s="29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</row>
    <row r="54" spans="2:46" s="17" customFormat="1" x14ac:dyDescent="0.35">
      <c r="B54" s="18" t="s">
        <v>96</v>
      </c>
      <c r="C54" s="15" t="s">
        <v>14</v>
      </c>
      <c r="D54" s="16"/>
      <c r="E54" s="16"/>
      <c r="F54" s="16"/>
      <c r="G54" s="16"/>
      <c r="H54" s="16"/>
      <c r="J54" s="17">
        <f t="shared" ref="J54:AT54" ca="1" si="25">J48*J50/1000</f>
        <v>39.0625</v>
      </c>
      <c r="K54" s="17">
        <f t="shared" ca="1" si="25"/>
        <v>39.453125</v>
      </c>
      <c r="L54" s="17">
        <f t="shared" ca="1" si="25"/>
        <v>39.84765625</v>
      </c>
      <c r="M54" s="17">
        <f t="shared" ca="1" si="25"/>
        <v>40.246132812499994</v>
      </c>
      <c r="N54" s="17">
        <f t="shared" ca="1" si="25"/>
        <v>81.297188281250001</v>
      </c>
      <c r="O54" s="17">
        <f t="shared" ca="1" si="25"/>
        <v>41.055080082031246</v>
      </c>
      <c r="P54" s="17">
        <f t="shared" ca="1" si="25"/>
        <v>41.465630882851556</v>
      </c>
      <c r="Q54" s="17">
        <f t="shared" ca="1" si="25"/>
        <v>62.820430787520102</v>
      </c>
      <c r="R54" s="17">
        <f t="shared" ca="1" si="25"/>
        <v>42.299090063596871</v>
      </c>
      <c r="S54" s="17">
        <f t="shared" ca="1" si="25"/>
        <v>42.722080964232845</v>
      </c>
      <c r="T54" s="17">
        <f t="shared" ca="1" si="25"/>
        <v>43.149301773875166</v>
      </c>
      <c r="U54" s="17">
        <f t="shared" ca="1" si="25"/>
        <v>87.161589583227837</v>
      </c>
      <c r="V54" s="17">
        <f t="shared" ca="1" si="25"/>
        <v>46.217432876506557</v>
      </c>
      <c r="W54" s="17">
        <f t="shared" ca="1" si="25"/>
        <v>46.679607205271616</v>
      </c>
      <c r="X54" s="17">
        <f t="shared" ca="1" si="25"/>
        <v>47.146403277324353</v>
      </c>
      <c r="Y54" s="17">
        <f t="shared" ca="1" si="25"/>
        <v>47.617867310097587</v>
      </c>
      <c r="Z54" s="17">
        <f t="shared" ca="1" si="25"/>
        <v>96.188091966397124</v>
      </c>
      <c r="AA54" s="17">
        <f t="shared" ca="1" si="25"/>
        <v>48.574986443030546</v>
      </c>
      <c r="AB54" s="17">
        <f t="shared" ca="1" si="25"/>
        <v>49.060736307460857</v>
      </c>
      <c r="AC54" s="17">
        <f t="shared" ca="1" si="25"/>
        <v>74.327015505803175</v>
      </c>
      <c r="AD54" s="17">
        <f t="shared" ca="1" si="25"/>
        <v>50.046857107240818</v>
      </c>
      <c r="AE54" s="17">
        <f t="shared" ca="1" si="25"/>
        <v>50.547325678313221</v>
      </c>
      <c r="AF54" s="17">
        <f t="shared" ca="1" si="25"/>
        <v>51.052798935096355</v>
      </c>
      <c r="AG54" s="17">
        <f t="shared" ca="1" si="25"/>
        <v>103.12665384889465</v>
      </c>
      <c r="AH54" s="17">
        <f t="shared" ca="1" si="25"/>
        <v>54.682908203376385</v>
      </c>
      <c r="AI54" s="17">
        <f t="shared" ca="1" si="25"/>
        <v>55.229737285410145</v>
      </c>
      <c r="AJ54" s="17">
        <f t="shared" ca="1" si="25"/>
        <v>55.782034658264244</v>
      </c>
      <c r="AK54" s="17">
        <f t="shared" ca="1" si="25"/>
        <v>56.339855004846896</v>
      </c>
      <c r="AL54" s="17">
        <f t="shared" ca="1" si="25"/>
        <v>113.80650710979073</v>
      </c>
      <c r="AM54" s="17">
        <f t="shared" ca="1" si="25"/>
        <v>57.472286090444321</v>
      </c>
      <c r="AN54" s="17">
        <f t="shared" ca="1" si="25"/>
        <v>58.047008951348765</v>
      </c>
      <c r="AO54" s="17">
        <f t="shared" ca="1" si="25"/>
        <v>87.941218561293368</v>
      </c>
      <c r="AP54" s="17">
        <f t="shared" ca="1" si="25"/>
        <v>59.213753831270878</v>
      </c>
      <c r="AQ54" s="17">
        <f t="shared" ca="1" si="25"/>
        <v>59.805891369583591</v>
      </c>
      <c r="AR54" s="17">
        <f t="shared" ca="1" si="25"/>
        <v>60.403950283279421</v>
      </c>
      <c r="AS54" s="17">
        <f t="shared" ca="1" si="25"/>
        <v>122.01597957222444</v>
      </c>
      <c r="AT54" s="17">
        <f t="shared" ca="1" si="25"/>
        <v>64.698973168172017</v>
      </c>
    </row>
    <row r="55" spans="2:46" x14ac:dyDescent="0.35">
      <c r="B55" t="s">
        <v>97</v>
      </c>
      <c r="C55" t="s">
        <v>26</v>
      </c>
      <c r="H55" s="29"/>
      <c r="J55" s="30">
        <f ca="1">IF(J$1=DATE(2026,1,1),Предпосылки!C43,IF(MOD(MONTH(J$1),Предпосылки!$C45)=Предпосылки!$C46,I55*Предпосылки!$C44+I55,I55))</f>
        <v>0.4</v>
      </c>
      <c r="K55" s="30">
        <f ca="1">IF(K$1=DATE(2026,1,1),Предпосылки!C44,IF(MOD(MONTH(K$1),Предпосылки!$C45)=Предпосылки!$C46,J55*Предпосылки!$C44+J55,J55))</f>
        <v>0.4</v>
      </c>
      <c r="L55" s="30">
        <f ca="1">IF(L$1=DATE(2026,1,1),Предпосылки!C45,IF(MOD(MONTH(L$1),Предпосылки!$C45)=Предпосылки!$C46,K55*Предпосылки!$C44+K55,K55))</f>
        <v>0.4</v>
      </c>
      <c r="M55" s="30">
        <f ca="1">IF(M$1=DATE(2026,1,1),Предпосылки!C46,IF(MOD(MONTH(M$1),Предпосылки!$C45)=Предпосылки!$C46,L55*Предпосылки!$C44+L55,L55))</f>
        <v>0.4</v>
      </c>
      <c r="N55" s="30">
        <f ca="1">IF(N$1=DATE(2026,1,1),H55,IF(MOD(MONTH(N$1),Предпосылки!$C45)=Предпосылки!$C46,M55*Предпосылки!$C44+M55,M55))</f>
        <v>0.4</v>
      </c>
      <c r="O55" s="30">
        <f ca="1">IF(O$1=DATE(2026,1,1),I55,IF(MOD(MONTH(O$1),Предпосылки!$C45)=Предпосылки!$C46,N55*Предпосылки!$C44+N55,N55))</f>
        <v>0.4</v>
      </c>
      <c r="P55" s="30">
        <f ca="1">IF(P$1=DATE(2026,1,1),J55,IF(MOD(MONTH(P$1),Предпосылки!$C45)=Предпосылки!$C46,O55*Предпосылки!$C44+O55,O55))</f>
        <v>0.4</v>
      </c>
      <c r="Q55" s="30">
        <f ca="1">IF(Q$1=DATE(2026,1,1),K55,IF(MOD(MONTH(Q$1),Предпосылки!$C45)=Предпосылки!$C46,P55*Предпосылки!$C44+P55,P55))</f>
        <v>0.4</v>
      </c>
      <c r="R55" s="30">
        <f ca="1">IF(R$1=DATE(2026,1,1),L55,IF(MOD(MONTH(R$1),Предпосылки!$C45)=Предпосылки!$C46,Q55*Предпосылки!$C44+Q55,Q55))</f>
        <v>0.4</v>
      </c>
      <c r="S55" s="30">
        <f ca="1">IF(S$1=DATE(2026,1,1),M55,IF(MOD(MONTH(S$1),Предпосылки!$C45)=Предпосылки!$C46,R55*Предпосылки!$C44+R55,R55))</f>
        <v>0.4</v>
      </c>
      <c r="T55" s="30">
        <f ca="1">IF(T$1=DATE(2026,1,1),N55,IF(MOD(MONTH(T$1),Предпосылки!$C45)=Предпосылки!$C46,S55*Предпосылки!$C44+S55,S55))</f>
        <v>0.4</v>
      </c>
      <c r="U55" s="30">
        <f ca="1">IF(U$1=DATE(2026,1,1),O55,IF(MOD(MONTH(U$1),Предпосылки!$C45)=Предпосылки!$C46,T55*Предпосылки!$C44+T55,T55))</f>
        <v>0.4</v>
      </c>
      <c r="V55" s="30">
        <f ca="1">IF(V$1=DATE(2026,1,1),P55,IF(MOD(MONTH(V$1),Предпосылки!$C45)=Предпосылки!$C46,U55*Предпосылки!$C44+U55,U55))</f>
        <v>0.42000000000000004</v>
      </c>
      <c r="W55" s="30">
        <f ca="1">IF(W$1=DATE(2026,1,1),Q55,IF(MOD(MONTH(W$1),Предпосылки!$C45)=Предпосылки!$C46,V55*Предпосылки!$C44+V55,V55))</f>
        <v>0.42000000000000004</v>
      </c>
      <c r="X55" s="30">
        <f ca="1">IF(X$1=DATE(2026,1,1),R55,IF(MOD(MONTH(X$1),Предпосылки!$C45)=Предпосылки!$C46,W55*Предпосылки!$C44+W55,W55))</f>
        <v>0.42000000000000004</v>
      </c>
      <c r="Y55" s="30">
        <f ca="1">IF(Y$1=DATE(2026,1,1),S55,IF(MOD(MONTH(Y$1),Предпосылки!$C45)=Предпосылки!$C46,X55*Предпосылки!$C44+X55,X55))</f>
        <v>0.42000000000000004</v>
      </c>
      <c r="Z55" s="30">
        <f ca="1">IF(Z$1=DATE(2026,1,1),T55,IF(MOD(MONTH(Z$1),Предпосылки!$C45)=Предпосылки!$C46,Y55*Предпосылки!$C44+Y55,Y55))</f>
        <v>0.42000000000000004</v>
      </c>
      <c r="AA55" s="30">
        <f ca="1">IF(AA$1=DATE(2026,1,1),U55,IF(MOD(MONTH(AA$1),Предпосылки!$C45)=Предпосылки!$C46,Z55*Предпосылки!$C44+Z55,Z55))</f>
        <v>0.42000000000000004</v>
      </c>
      <c r="AB55" s="30">
        <f ca="1">IF(AB$1=DATE(2026,1,1),V55,IF(MOD(MONTH(AB$1),Предпосылки!$C45)=Предпосылки!$C46,AA55*Предпосылки!$C44+AA55,AA55))</f>
        <v>0.42000000000000004</v>
      </c>
      <c r="AC55" s="30">
        <f ca="1">IF(AC$1=DATE(2026,1,1),W55,IF(MOD(MONTH(AC$1),Предпосылки!$C45)=Предпосылки!$C46,AB55*Предпосылки!$C44+AB55,AB55))</f>
        <v>0.42000000000000004</v>
      </c>
      <c r="AD55" s="30">
        <f ca="1">IF(AD$1=DATE(2026,1,1),X55,IF(MOD(MONTH(AD$1),Предпосылки!$C45)=Предпосылки!$C46,AC55*Предпосылки!$C44+AC55,AC55))</f>
        <v>0.42000000000000004</v>
      </c>
      <c r="AE55" s="30">
        <f ca="1">IF(AE$1=DATE(2026,1,1),Y55,IF(MOD(MONTH(AE$1),Предпосылки!$C45)=Предпосылки!$C46,AD55*Предпосылки!$C44+AD55,AD55))</f>
        <v>0.42000000000000004</v>
      </c>
      <c r="AF55" s="30">
        <f ca="1">IF(AF$1=DATE(2026,1,1),Z55,IF(MOD(MONTH(AF$1),Предпосылки!$C45)=Предпосылки!$C46,AE55*Предпосылки!$C44+AE55,AE55))</f>
        <v>0.42000000000000004</v>
      </c>
      <c r="AG55" s="30">
        <f ca="1">IF(AG$1=DATE(2026,1,1),AA55,IF(MOD(MONTH(AG$1),Предпосылки!$C45)=Предпосылки!$C46,AF55*Предпосылки!$C44+AF55,AF55))</f>
        <v>0.42000000000000004</v>
      </c>
      <c r="AH55" s="30">
        <f ca="1">IF(AH$1=DATE(2026,1,1),AB55,IF(MOD(MONTH(AH$1),Предпосылки!$C45)=Предпосылки!$C46,AG55*Предпосылки!$C44+AG55,AG55))</f>
        <v>0.44100000000000006</v>
      </c>
      <c r="AI55" s="30">
        <f ca="1">IF(AI$1=DATE(2026,1,1),AC55,IF(MOD(MONTH(AI$1),Предпосылки!$C45)=Предпосылки!$C46,AH55*Предпосылки!$C44+AH55,AH55))</f>
        <v>0.44100000000000006</v>
      </c>
      <c r="AJ55" s="30">
        <f ca="1">IF(AJ$1=DATE(2026,1,1),AD55,IF(MOD(MONTH(AJ$1),Предпосылки!$C45)=Предпосылки!$C46,AI55*Предпосылки!$C44+AI55,AI55))</f>
        <v>0.44100000000000006</v>
      </c>
      <c r="AK55" s="30">
        <f ca="1">IF(AK$1=DATE(2026,1,1),AE55,IF(MOD(MONTH(AK$1),Предпосылки!$C45)=Предпосылки!$C46,AJ55*Предпосылки!$C44+AJ55,AJ55))</f>
        <v>0.44100000000000006</v>
      </c>
      <c r="AL55" s="30">
        <f ca="1">IF(AL$1=DATE(2026,1,1),AF55,IF(MOD(MONTH(AL$1),Предпосылки!$C45)=Предпосылки!$C46,AK55*Предпосылки!$C44+AK55,AK55))</f>
        <v>0.44100000000000006</v>
      </c>
      <c r="AM55" s="30">
        <f ca="1">IF(AM$1=DATE(2026,1,1),AG55,IF(MOD(MONTH(AM$1),Предпосылки!$C45)=Предпосылки!$C46,AL55*Предпосылки!$C44+AL55,AL55))</f>
        <v>0.44100000000000006</v>
      </c>
      <c r="AN55" s="30">
        <f ca="1">IF(AN$1=DATE(2026,1,1),AH55,IF(MOD(MONTH(AN$1),Предпосылки!$C45)=Предпосылки!$C46,AM55*Предпосылки!$C44+AM55,AM55))</f>
        <v>0.44100000000000006</v>
      </c>
      <c r="AO55" s="30">
        <f ca="1">IF(AO$1=DATE(2026,1,1),AI55,IF(MOD(MONTH(AO$1),Предпосылки!$C45)=Предпосылки!$C46,AN55*Предпосылки!$C44+AN55,AN55))</f>
        <v>0.44100000000000006</v>
      </c>
      <c r="AP55" s="30">
        <f ca="1">IF(AP$1=DATE(2026,1,1),AJ55,IF(MOD(MONTH(AP$1),Предпосылки!$C45)=Предпосылки!$C46,AO55*Предпосылки!$C44+AO55,AO55))</f>
        <v>0.44100000000000006</v>
      </c>
      <c r="AQ55" s="30">
        <f ca="1">IF(AQ$1=DATE(2026,1,1),AK55,IF(MOD(MONTH(AQ$1),Предпосылки!$C45)=Предпосылки!$C46,AP55*Предпосылки!$C44+AP55,AP55))</f>
        <v>0.44100000000000006</v>
      </c>
      <c r="AR55" s="30">
        <f ca="1">IF(AR$1=DATE(2026,1,1),AL55,IF(MOD(MONTH(AR$1),Предпосылки!$C45)=Предпосылки!$C46,AQ55*Предпосылки!$C44+AQ55,AQ55))</f>
        <v>0.44100000000000006</v>
      </c>
      <c r="AS55" s="30">
        <f ca="1">IF(AS$1=DATE(2026,1,1),AM55,IF(MOD(MONTH(AS$1),Предпосылки!$C45)=Предпосылки!$C46,AR55*Предпосылки!$C44+AR55,AR55))</f>
        <v>0.44100000000000006</v>
      </c>
      <c r="AT55" s="30">
        <f ca="1">IF(AT$1=DATE(2026,1,1),AN55,IF(MOD(MONTH(AT$1),Предпосылки!$C45)=Предпосылки!$C46,AS55*Предпосылки!$C44+AS55,AS55))</f>
        <v>0.46305000000000007</v>
      </c>
    </row>
    <row r="56" spans="2:46" x14ac:dyDescent="0.35">
      <c r="D56" s="29"/>
      <c r="E56" s="29"/>
      <c r="F56" s="29"/>
      <c r="G56" s="29"/>
      <c r="H56" s="29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</row>
    <row r="57" spans="2:46" x14ac:dyDescent="0.35">
      <c r="B57" t="s">
        <v>94</v>
      </c>
      <c r="C57" t="s">
        <v>42</v>
      </c>
      <c r="D57" s="4"/>
      <c r="E57" s="4"/>
      <c r="F57" s="4"/>
      <c r="G57" s="4"/>
      <c r="H57" s="4"/>
      <c r="J57" s="78">
        <f t="shared" ref="J57:AT57" ca="1" si="26">J37</f>
        <v>62500</v>
      </c>
      <c r="K57" s="78">
        <f t="shared" ca="1" si="26"/>
        <v>63125</v>
      </c>
      <c r="L57" s="78">
        <f t="shared" ca="1" si="26"/>
        <v>63756.25</v>
      </c>
      <c r="M57" s="78">
        <f t="shared" ca="1" si="26"/>
        <v>64393.812499999985</v>
      </c>
      <c r="N57" s="78">
        <f t="shared" ca="1" si="26"/>
        <v>130075.50125</v>
      </c>
      <c r="O57" s="78">
        <f t="shared" ca="1" si="26"/>
        <v>65688.128131249992</v>
      </c>
      <c r="P57" s="78">
        <f t="shared" ca="1" si="26"/>
        <v>66345.009412562489</v>
      </c>
      <c r="Q57" s="78">
        <f t="shared" ca="1" si="26"/>
        <v>100512.68926003217</v>
      </c>
      <c r="R57" s="78">
        <f t="shared" ca="1" si="26"/>
        <v>67678.544101754989</v>
      </c>
      <c r="S57" s="78">
        <f t="shared" ca="1" si="26"/>
        <v>68355.329542772553</v>
      </c>
      <c r="T57" s="78">
        <f t="shared" ca="1" si="26"/>
        <v>69038.882838200268</v>
      </c>
      <c r="U57" s="78">
        <f t="shared" ca="1" si="26"/>
        <v>139458.54333316453</v>
      </c>
      <c r="V57" s="78">
        <f t="shared" ca="1" si="26"/>
        <v>70426.564383248086</v>
      </c>
      <c r="W57" s="78">
        <f t="shared" ca="1" si="26"/>
        <v>71130.830027080563</v>
      </c>
      <c r="X57" s="78">
        <f t="shared" ca="1" si="26"/>
        <v>71842.138327351393</v>
      </c>
      <c r="Y57" s="78">
        <f t="shared" ca="1" si="26"/>
        <v>72560.55971062489</v>
      </c>
      <c r="Z57" s="78">
        <f t="shared" ca="1" si="26"/>
        <v>146572.3306154623</v>
      </c>
      <c r="AA57" s="78">
        <f t="shared" ca="1" si="26"/>
        <v>74019.026960808449</v>
      </c>
      <c r="AB57" s="78">
        <f t="shared" ca="1" si="26"/>
        <v>74759.217230416543</v>
      </c>
      <c r="AC57" s="78">
        <f t="shared" ca="1" si="26"/>
        <v>113260.21410408104</v>
      </c>
      <c r="AD57" s="78">
        <f t="shared" ca="1" si="26"/>
        <v>76261.877496747911</v>
      </c>
      <c r="AE57" s="78">
        <f t="shared" ca="1" si="26"/>
        <v>77024.496271715383</v>
      </c>
      <c r="AF57" s="78">
        <f t="shared" ca="1" si="26"/>
        <v>77794.741234432542</v>
      </c>
      <c r="AG57" s="78">
        <f t="shared" ca="1" si="26"/>
        <v>157145.37729355376</v>
      </c>
      <c r="AH57" s="78">
        <f t="shared" ca="1" si="26"/>
        <v>79358.415533244639</v>
      </c>
      <c r="AI57" s="78">
        <f t="shared" ca="1" si="26"/>
        <v>80151.999688577082</v>
      </c>
      <c r="AJ57" s="78">
        <f t="shared" ca="1" si="26"/>
        <v>80953.519685462845</v>
      </c>
      <c r="AK57" s="78">
        <f t="shared" ca="1" si="26"/>
        <v>81763.05488231749</v>
      </c>
      <c r="AL57" s="78">
        <f t="shared" ca="1" si="26"/>
        <v>165161.37086228133</v>
      </c>
      <c r="AM57" s="78">
        <f t="shared" ca="1" si="26"/>
        <v>83406.49228545207</v>
      </c>
      <c r="AN57" s="78">
        <f t="shared" ca="1" si="26"/>
        <v>84240.557208306593</v>
      </c>
      <c r="AO57" s="78">
        <f t="shared" ca="1" si="26"/>
        <v>127624.44417058448</v>
      </c>
      <c r="AP57" s="78">
        <f t="shared" ca="1" si="26"/>
        <v>85933.792408193563</v>
      </c>
      <c r="AQ57" s="78">
        <f t="shared" ca="1" si="26"/>
        <v>86793.130332275512</v>
      </c>
      <c r="AR57" s="78">
        <f t="shared" ca="1" si="26"/>
        <v>87661.061635598249</v>
      </c>
      <c r="AS57" s="78">
        <f t="shared" ca="1" si="26"/>
        <v>177075.34450390848</v>
      </c>
      <c r="AT57" s="78">
        <f t="shared" ca="1" si="26"/>
        <v>89423.048974473786</v>
      </c>
    </row>
    <row r="58" spans="2:46" x14ac:dyDescent="0.35">
      <c r="D58" s="29"/>
      <c r="E58" s="29"/>
      <c r="F58" s="29"/>
      <c r="G58" s="29"/>
      <c r="H58" s="29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</row>
    <row r="59" spans="2:46" s="17" customFormat="1" x14ac:dyDescent="0.35">
      <c r="B59" s="14" t="s">
        <v>98</v>
      </c>
      <c r="C59" s="15" t="s">
        <v>14</v>
      </c>
      <c r="D59" s="16"/>
      <c r="E59" s="16"/>
      <c r="F59" s="16"/>
      <c r="G59" s="16"/>
      <c r="H59" s="16"/>
      <c r="J59" s="17">
        <f t="shared" ref="J59:AT59" ca="1" si="27">J55*J57/1000</f>
        <v>25</v>
      </c>
      <c r="K59" s="17">
        <f t="shared" ca="1" si="27"/>
        <v>25.25</v>
      </c>
      <c r="L59" s="17">
        <f t="shared" ca="1" si="27"/>
        <v>25.502500000000001</v>
      </c>
      <c r="M59" s="17">
        <f t="shared" ca="1" si="27"/>
        <v>25.757524999999994</v>
      </c>
      <c r="N59" s="17">
        <f t="shared" ca="1" si="27"/>
        <v>52.030200500000007</v>
      </c>
      <c r="O59" s="17">
        <f t="shared" ca="1" si="27"/>
        <v>26.275251252499999</v>
      </c>
      <c r="P59" s="17">
        <f t="shared" ca="1" si="27"/>
        <v>26.538003765025</v>
      </c>
      <c r="Q59" s="17">
        <f t="shared" ca="1" si="27"/>
        <v>40.205075704012877</v>
      </c>
      <c r="R59" s="17">
        <f t="shared" ca="1" si="27"/>
        <v>27.071417640701998</v>
      </c>
      <c r="S59" s="17">
        <f t="shared" ca="1" si="27"/>
        <v>27.342131817109024</v>
      </c>
      <c r="T59" s="17">
        <f t="shared" ca="1" si="27"/>
        <v>27.615553135280109</v>
      </c>
      <c r="U59" s="17">
        <f t="shared" ca="1" si="27"/>
        <v>55.783417333265817</v>
      </c>
      <c r="V59" s="17">
        <f t="shared" ca="1" si="27"/>
        <v>29.579157040964198</v>
      </c>
      <c r="W59" s="17">
        <f t="shared" ca="1" si="27"/>
        <v>29.874948611373839</v>
      </c>
      <c r="X59" s="17">
        <f t="shared" ca="1" si="27"/>
        <v>30.173698097487588</v>
      </c>
      <c r="Y59" s="17">
        <f t="shared" ca="1" si="27"/>
        <v>30.475435078462453</v>
      </c>
      <c r="Z59" s="17">
        <f t="shared" ca="1" si="27"/>
        <v>61.560378858494175</v>
      </c>
      <c r="AA59" s="17">
        <f t="shared" ca="1" si="27"/>
        <v>31.087991323539551</v>
      </c>
      <c r="AB59" s="17">
        <f t="shared" ca="1" si="27"/>
        <v>31.398871236774951</v>
      </c>
      <c r="AC59" s="17">
        <f t="shared" ca="1" si="27"/>
        <v>47.569289923714038</v>
      </c>
      <c r="AD59" s="17">
        <f t="shared" ca="1" si="27"/>
        <v>32.02998854863413</v>
      </c>
      <c r="AE59" s="17">
        <f t="shared" ca="1" si="27"/>
        <v>32.350288434120465</v>
      </c>
      <c r="AF59" s="17">
        <f t="shared" ca="1" si="27"/>
        <v>32.673791318461667</v>
      </c>
      <c r="AG59" s="17">
        <f t="shared" ca="1" si="27"/>
        <v>66.001058463292594</v>
      </c>
      <c r="AH59" s="17">
        <f t="shared" ca="1" si="27"/>
        <v>34.99706125016089</v>
      </c>
      <c r="AI59" s="17">
        <f t="shared" ca="1" si="27"/>
        <v>35.347031862662504</v>
      </c>
      <c r="AJ59" s="17">
        <f t="shared" ca="1" si="27"/>
        <v>35.700502181289124</v>
      </c>
      <c r="AK59" s="17">
        <f t="shared" ca="1" si="27"/>
        <v>36.05750720310202</v>
      </c>
      <c r="AL59" s="17">
        <f t="shared" ca="1" si="27"/>
        <v>72.836164550266062</v>
      </c>
      <c r="AM59" s="17">
        <f t="shared" ca="1" si="27"/>
        <v>36.782263097884368</v>
      </c>
      <c r="AN59" s="17">
        <f t="shared" ca="1" si="27"/>
        <v>37.15008572886321</v>
      </c>
      <c r="AO59" s="17">
        <f t="shared" ca="1" si="27"/>
        <v>56.282379879227769</v>
      </c>
      <c r="AP59" s="17">
        <f t="shared" ca="1" si="27"/>
        <v>37.896802452013368</v>
      </c>
      <c r="AQ59" s="17">
        <f t="shared" ca="1" si="27"/>
        <v>38.275770476533509</v>
      </c>
      <c r="AR59" s="17">
        <f t="shared" ca="1" si="27"/>
        <v>38.658528181298834</v>
      </c>
      <c r="AS59" s="17">
        <f t="shared" ca="1" si="27"/>
        <v>78.09022692622365</v>
      </c>
      <c r="AT59" s="17">
        <f t="shared" ca="1" si="27"/>
        <v>41.407342827630089</v>
      </c>
    </row>
    <row r="60" spans="2:46" x14ac:dyDescent="0.35">
      <c r="B60" t="s">
        <v>33</v>
      </c>
      <c r="C60" t="s">
        <v>34</v>
      </c>
      <c r="H60" s="29"/>
      <c r="J60" s="30">
        <f ca="1">IF(J$1=DATE(2026,1,1),Предпосылки!C48,IF(MOD(MONTH(J$1),Предпосылки!$C50)=Предпосылки!$C51,I60*Предпосылки!$C49+I60,I60))</f>
        <v>15</v>
      </c>
      <c r="K60" s="30">
        <f ca="1">IF(K$1=DATE(2026,1,1),Предпосылки!C49,IF(MOD(MONTH(K$1),Предпосылки!$C50)=Предпосылки!$C51,J60*Предпосылки!$C49+J60,J60))</f>
        <v>15</v>
      </c>
      <c r="L60" s="30">
        <f ca="1">IF(L$1=DATE(2026,1,1),Предпосылки!C50,IF(MOD(MONTH(L$1),Предпосылки!$C50)=Предпосылки!$C51,K60*Предпосылки!$C49+K60,K60))</f>
        <v>15</v>
      </c>
      <c r="M60" s="30">
        <f ca="1">IF(M$1=DATE(2026,1,1),Предпосылки!C51,IF(MOD(MONTH(M$1),Предпосылки!$C50)=Предпосылки!$C51,L60*Предпосылки!$C49+L60,L60))</f>
        <v>15</v>
      </c>
      <c r="N60" s="30">
        <f ca="1">IF(N$1=DATE(2026,1,1),H60,IF(MOD(MONTH(N$1),Предпосылки!$C50)=Предпосылки!$C51,M60*Предпосылки!$C49+M60,M60))</f>
        <v>15</v>
      </c>
      <c r="O60" s="30">
        <f ca="1">IF(O$1=DATE(2026,1,1),I60,IF(MOD(MONTH(O$1),Предпосылки!$C50)=Предпосылки!$C51,N60*Предпосылки!$C49+N60,N60))</f>
        <v>15</v>
      </c>
      <c r="P60" s="30">
        <f ca="1">IF(P$1=DATE(2026,1,1),J60,IF(MOD(MONTH(P$1),Предпосылки!$C50)=Предпосылки!$C51,O60*Предпосылки!$C49+O60,O60))</f>
        <v>15</v>
      </c>
      <c r="Q60" s="30">
        <f ca="1">IF(Q$1=DATE(2026,1,1),K60,IF(MOD(MONTH(Q$1),Предпосылки!$C50)=Предпосылки!$C51,P60*Предпосылки!$C49+P60,P60))</f>
        <v>15</v>
      </c>
      <c r="R60" s="30">
        <f ca="1">IF(R$1=DATE(2026,1,1),L60,IF(MOD(MONTH(R$1),Предпосылки!$C50)=Предпосылки!$C51,Q60*Предпосылки!$C49+Q60,Q60))</f>
        <v>15</v>
      </c>
      <c r="S60" s="30">
        <f ca="1">IF(S$1=DATE(2026,1,1),M60,IF(MOD(MONTH(S$1),Предпосылки!$C50)=Предпосылки!$C51,R60*Предпосылки!$C49+R60,R60))</f>
        <v>15</v>
      </c>
      <c r="T60" s="30">
        <f ca="1">IF(T$1=DATE(2026,1,1),N60,IF(MOD(MONTH(T$1),Предпосылки!$C50)=Предпосылки!$C51,S60*Предпосылки!$C49+S60,S60))</f>
        <v>15</v>
      </c>
      <c r="U60" s="30">
        <f ca="1">IF(U$1=DATE(2026,1,1),O60,IF(MOD(MONTH(U$1),Предпосылки!$C50)=Предпосылки!$C51,T60*Предпосылки!$C49+T60,T60))</f>
        <v>15</v>
      </c>
      <c r="V60" s="30">
        <f ca="1">IF(V$1=DATE(2026,1,1),P60,IF(MOD(MONTH(V$1),Предпосылки!$C50)=Предпосылки!$C51,U60*Предпосылки!$C49+U60,U60))</f>
        <v>15</v>
      </c>
      <c r="W60" s="30">
        <f ca="1">IF(W$1=DATE(2026,1,1),Q60,IF(MOD(MONTH(W$1),Предпосылки!$C50)=Предпосылки!$C51,V60*Предпосылки!$C49+V60,V60))</f>
        <v>15</v>
      </c>
      <c r="X60" s="30">
        <f ca="1">IF(X$1=DATE(2026,1,1),R60,IF(MOD(MONTH(X$1),Предпосылки!$C50)=Предпосылки!$C51,W60*Предпосылки!$C49+W60,W60))</f>
        <v>15</v>
      </c>
      <c r="Y60" s="30">
        <f ca="1">IF(Y$1=DATE(2026,1,1),S60,IF(MOD(MONTH(Y$1),Предпосылки!$C50)=Предпосылки!$C51,X60*Предпосылки!$C49+X60,X60))</f>
        <v>15</v>
      </c>
      <c r="Z60" s="30">
        <f ca="1">IF(Z$1=DATE(2026,1,1),T60,IF(MOD(MONTH(Z$1),Предпосылки!$C50)=Предпосылки!$C51,Y60*Предпосылки!$C49+Y60,Y60))</f>
        <v>15</v>
      </c>
      <c r="AA60" s="30">
        <f ca="1">IF(AA$1=DATE(2026,1,1),U60,IF(MOD(MONTH(AA$1),Предпосылки!$C50)=Предпосылки!$C51,Z60*Предпосылки!$C49+Z60,Z60))</f>
        <v>15</v>
      </c>
      <c r="AB60" s="30">
        <f ca="1">IF(AB$1=DATE(2026,1,1),V60,IF(MOD(MONTH(AB$1),Предпосылки!$C50)=Предпосылки!$C51,AA60*Предпосылки!$C49+AA60,AA60))</f>
        <v>15</v>
      </c>
      <c r="AC60" s="30">
        <f ca="1">IF(AC$1=DATE(2026,1,1),W60,IF(MOD(MONTH(AC$1),Предпосылки!$C50)=Предпосылки!$C51,AB60*Предпосылки!$C49+AB60,AB60))</f>
        <v>15</v>
      </c>
      <c r="AD60" s="30">
        <f ca="1">IF(AD$1=DATE(2026,1,1),X60,IF(MOD(MONTH(AD$1),Предпосылки!$C50)=Предпосылки!$C51,AC60*Предпосылки!$C49+AC60,AC60))</f>
        <v>15</v>
      </c>
      <c r="AE60" s="30">
        <f ca="1">IF(AE$1=DATE(2026,1,1),Y60,IF(MOD(MONTH(AE$1),Предпосылки!$C50)=Предпосылки!$C51,AD60*Предпосылки!$C49+AD60,AD60))</f>
        <v>15</v>
      </c>
      <c r="AF60" s="30">
        <f ca="1">IF(AF$1=DATE(2026,1,1),Z60,IF(MOD(MONTH(AF$1),Предпосылки!$C50)=Предпосылки!$C51,AE60*Предпосылки!$C49+AE60,AE60))</f>
        <v>15</v>
      </c>
      <c r="AG60" s="30">
        <f ca="1">IF(AG$1=DATE(2026,1,1),AA60,IF(MOD(MONTH(AG$1),Предпосылки!$C50)=Предпосылки!$C51,AF60*Предпосылки!$C49+AF60,AF60))</f>
        <v>15</v>
      </c>
      <c r="AH60" s="30">
        <f ca="1">IF(AH$1=DATE(2026,1,1),AB60,IF(MOD(MONTH(AH$1),Предпосылки!$C50)=Предпосылки!$C51,AG60*Предпосылки!$C49+AG60,AG60))</f>
        <v>15</v>
      </c>
      <c r="AI60" s="30">
        <f ca="1">IF(AI$1=DATE(2026,1,1),AC60,IF(MOD(MONTH(AI$1),Предпосылки!$C50)=Предпосылки!$C51,AH60*Предпосылки!$C49+AH60,AH60))</f>
        <v>15</v>
      </c>
      <c r="AJ60" s="30">
        <f ca="1">IF(AJ$1=DATE(2026,1,1),AD60,IF(MOD(MONTH(AJ$1),Предпосылки!$C50)=Предпосылки!$C51,AI60*Предпосылки!$C49+AI60,AI60))</f>
        <v>15</v>
      </c>
      <c r="AK60" s="30">
        <f ca="1">IF(AK$1=DATE(2026,1,1),AE60,IF(MOD(MONTH(AK$1),Предпосылки!$C50)=Предпосылки!$C51,AJ60*Предпосылки!$C49+AJ60,AJ60))</f>
        <v>15</v>
      </c>
      <c r="AL60" s="30">
        <f ca="1">IF(AL$1=DATE(2026,1,1),AF60,IF(MOD(MONTH(AL$1),Предпосылки!$C50)=Предпосылки!$C51,AK60*Предпосылки!$C49+AK60,AK60))</f>
        <v>15</v>
      </c>
      <c r="AM60" s="30">
        <f ca="1">IF(AM$1=DATE(2026,1,1),AG60,IF(MOD(MONTH(AM$1),Предпосылки!$C50)=Предпосылки!$C51,AL60*Предпосылки!$C49+AL60,AL60))</f>
        <v>15</v>
      </c>
      <c r="AN60" s="30">
        <f ca="1">IF(AN$1=DATE(2026,1,1),AH60,IF(MOD(MONTH(AN$1),Предпосылки!$C50)=Предпосылки!$C51,AM60*Предпосылки!$C49+AM60,AM60))</f>
        <v>15</v>
      </c>
      <c r="AO60" s="30">
        <f ca="1">IF(AO$1=DATE(2026,1,1),AI60,IF(MOD(MONTH(AO$1),Предпосылки!$C50)=Предпосылки!$C51,AN60*Предпосылки!$C49+AN60,AN60))</f>
        <v>15</v>
      </c>
      <c r="AP60" s="30">
        <f ca="1">IF(AP$1=DATE(2026,1,1),AJ60,IF(MOD(MONTH(AP$1),Предпосылки!$C50)=Предпосылки!$C51,AO60*Предпосылки!$C49+AO60,AO60))</f>
        <v>15</v>
      </c>
      <c r="AQ60" s="30">
        <f ca="1">IF(AQ$1=DATE(2026,1,1),AK60,IF(MOD(MONTH(AQ$1),Предпосылки!$C50)=Предпосылки!$C51,AP60*Предпосылки!$C49+AP60,AP60))</f>
        <v>15</v>
      </c>
      <c r="AR60" s="30">
        <f ca="1">IF(AR$1=DATE(2026,1,1),AL60,IF(MOD(MONTH(AR$1),Предпосылки!$C50)=Предпосылки!$C51,AQ60*Предпосылки!$C49+AQ60,AQ60))</f>
        <v>15</v>
      </c>
      <c r="AS60" s="30">
        <f ca="1">IF(AS$1=DATE(2026,1,1),AM60,IF(MOD(MONTH(AS$1),Предпосылки!$C50)=Предпосылки!$C51,AR60*Предпосылки!$C49+AR60,AR60))</f>
        <v>15</v>
      </c>
      <c r="AT60" s="30">
        <f ca="1">IF(AT$1=DATE(2026,1,1),AN60,IF(MOD(MONTH(AT$1),Предпосылки!$C50)=Предпосылки!$C51,AS60*Предпосылки!$C49+AS60,AS60))</f>
        <v>15</v>
      </c>
    </row>
    <row r="61" spans="2:46" x14ac:dyDescent="0.35">
      <c r="D61" s="29"/>
      <c r="E61" s="29"/>
      <c r="F61" s="29"/>
      <c r="G61" s="29"/>
      <c r="H61" s="29"/>
    </row>
    <row r="62" spans="2:46" x14ac:dyDescent="0.35">
      <c r="B62" t="s">
        <v>99</v>
      </c>
      <c r="C62" t="s">
        <v>26</v>
      </c>
      <c r="H62" s="29"/>
      <c r="J62" s="30">
        <f ca="1">IF(J$1=DATE(2026,1,1),Предпосылки!C53,IF(MOD(MONTH(J$1),Предпосылки!$C56)=Предпосылки!$C57,I62*Предпосылки!$C55+I62,I62))</f>
        <v>1.3</v>
      </c>
      <c r="K62" s="30">
        <f ca="1">IF(K$1=DATE(2026,1,1),Предпосылки!C55,IF(MOD(MONTH(K$1),Предпосылки!$C56)=Предпосылки!$C57,J62*Предпосылки!$C55+J62,J62))</f>
        <v>1.3</v>
      </c>
      <c r="L62" s="30">
        <f ca="1">IF(L$1=DATE(2026,1,1),Предпосылки!C56,IF(MOD(MONTH(L$1),Предпосылки!$C56)=Предпосылки!$C57,K62*Предпосылки!$C55+K62,K62))</f>
        <v>1.3</v>
      </c>
      <c r="M62" s="30">
        <f ca="1">IF(M$1=DATE(2026,1,1),Предпосылки!C57,IF(MOD(MONTH(M$1),Предпосылки!$C56)=Предпосылки!$C57,L62*Предпосылки!$C55+L62,L62))</f>
        <v>1.3</v>
      </c>
      <c r="N62" s="30">
        <f ca="1">IF(N$1=DATE(2026,1,1),H62,IF(MOD(MONTH(N$1),Предпосылки!$C56)=Предпосылки!$C57,M62*Предпосылки!$C55+M62,M62))</f>
        <v>1.3</v>
      </c>
      <c r="O62" s="30">
        <f ca="1">IF(O$1=DATE(2026,1,1),I62,IF(MOD(MONTH(O$1),Предпосылки!$C56)=Предпосылки!$C57,N62*Предпосылки!$C55+N62,N62))</f>
        <v>1.3</v>
      </c>
      <c r="P62" s="30">
        <f ca="1">IF(P$1=DATE(2026,1,1),J62,IF(MOD(MONTH(P$1),Предпосылки!$C56)=Предпосылки!$C57,O62*Предпосылки!$C55+O62,O62))</f>
        <v>1.3</v>
      </c>
      <c r="Q62" s="30">
        <f ca="1">IF(Q$1=DATE(2026,1,1),K62,IF(MOD(MONTH(Q$1),Предпосылки!$C56)=Предпосылки!$C57,P62*Предпосылки!$C55+P62,P62))</f>
        <v>1.3</v>
      </c>
      <c r="R62" s="30">
        <f ca="1">IF(R$1=DATE(2026,1,1),L62,IF(MOD(MONTH(R$1),Предпосылки!$C56)=Предпосылки!$C57,Q62*Предпосылки!$C55+Q62,Q62))</f>
        <v>1.3</v>
      </c>
      <c r="S62" s="30">
        <f ca="1">IF(S$1=DATE(2026,1,1),M62,IF(MOD(MONTH(S$1),Предпосылки!$C56)=Предпосылки!$C57,R62*Предпосылки!$C55+R62,R62))</f>
        <v>1.3</v>
      </c>
      <c r="T62" s="30">
        <f ca="1">IF(T$1=DATE(2026,1,1),N62,IF(MOD(MONTH(T$1),Предпосылки!$C56)=Предпосылки!$C57,S62*Предпосылки!$C55+S62,S62))</f>
        <v>1.3</v>
      </c>
      <c r="U62" s="30">
        <f ca="1">IF(U$1=DATE(2026,1,1),O62,IF(MOD(MONTH(U$1),Предпосылки!$C56)=Предпосылки!$C57,T62*Предпосылки!$C55+T62,T62))</f>
        <v>1.3</v>
      </c>
      <c r="V62" s="30">
        <f ca="1">IF(V$1=DATE(2026,1,1),P62,IF(MOD(MONTH(V$1),Предпосылки!$C56)=Предпосылки!$C57,U62*Предпосылки!$C55+U62,U62))</f>
        <v>1.365</v>
      </c>
      <c r="W62" s="30">
        <f ca="1">IF(W$1=DATE(2026,1,1),Q62,IF(MOD(MONTH(W$1),Предпосылки!$C56)=Предпосылки!$C57,V62*Предпосылки!$C55+V62,V62))</f>
        <v>1.365</v>
      </c>
      <c r="X62" s="30">
        <f ca="1">IF(X$1=DATE(2026,1,1),R62,IF(MOD(MONTH(X$1),Предпосылки!$C56)=Предпосылки!$C57,W62*Предпосылки!$C55+W62,W62))</f>
        <v>1.365</v>
      </c>
      <c r="Y62" s="30">
        <f ca="1">IF(Y$1=DATE(2026,1,1),S62,IF(MOD(MONTH(Y$1),Предпосылки!$C56)=Предпосылки!$C57,X62*Предпосылки!$C55+X62,X62))</f>
        <v>1.365</v>
      </c>
      <c r="Z62" s="30">
        <f ca="1">IF(Z$1=DATE(2026,1,1),T62,IF(MOD(MONTH(Z$1),Предпосылки!$C56)=Предпосылки!$C57,Y62*Предпосылки!$C55+Y62,Y62))</f>
        <v>1.365</v>
      </c>
      <c r="AA62" s="30">
        <f ca="1">IF(AA$1=DATE(2026,1,1),U62,IF(MOD(MONTH(AA$1),Предпосылки!$C56)=Предпосылки!$C57,Z62*Предпосылки!$C55+Z62,Z62))</f>
        <v>1.365</v>
      </c>
      <c r="AB62" s="30">
        <f ca="1">IF(AB$1=DATE(2026,1,1),V62,IF(MOD(MONTH(AB$1),Предпосылки!$C56)=Предпосылки!$C57,AA62*Предпосылки!$C55+AA62,AA62))</f>
        <v>1.365</v>
      </c>
      <c r="AC62" s="30">
        <f ca="1">IF(AC$1=DATE(2026,1,1),W62,IF(MOD(MONTH(AC$1),Предпосылки!$C56)=Предпосылки!$C57,AB62*Предпосылки!$C55+AB62,AB62))</f>
        <v>1.365</v>
      </c>
      <c r="AD62" s="30">
        <f ca="1">IF(AD$1=DATE(2026,1,1),X62,IF(MOD(MONTH(AD$1),Предпосылки!$C56)=Предпосылки!$C57,AC62*Предпосылки!$C55+AC62,AC62))</f>
        <v>1.365</v>
      </c>
      <c r="AE62" s="30">
        <f ca="1">IF(AE$1=DATE(2026,1,1),Y62,IF(MOD(MONTH(AE$1),Предпосылки!$C56)=Предпосылки!$C57,AD62*Предпосылки!$C55+AD62,AD62))</f>
        <v>1.365</v>
      </c>
      <c r="AF62" s="30">
        <f ca="1">IF(AF$1=DATE(2026,1,1),Z62,IF(MOD(MONTH(AF$1),Предпосылки!$C56)=Предпосылки!$C57,AE62*Предпосылки!$C55+AE62,AE62))</f>
        <v>1.365</v>
      </c>
      <c r="AG62" s="30">
        <f ca="1">IF(AG$1=DATE(2026,1,1),AA62,IF(MOD(MONTH(AG$1),Предпосылки!$C56)=Предпосылки!$C57,AF62*Предпосылки!$C55+AF62,AF62))</f>
        <v>1.365</v>
      </c>
      <c r="AH62" s="30">
        <f ca="1">IF(AH$1=DATE(2026,1,1),AB62,IF(MOD(MONTH(AH$1),Предпосылки!$C56)=Предпосылки!$C57,AG62*Предпосылки!$C55+AG62,AG62))</f>
        <v>1.4332499999999999</v>
      </c>
      <c r="AI62" s="30">
        <f ca="1">IF(AI$1=DATE(2026,1,1),AC62,IF(MOD(MONTH(AI$1),Предпосылки!$C56)=Предпосылки!$C57,AH62*Предпосылки!$C55+AH62,AH62))</f>
        <v>1.4332499999999999</v>
      </c>
      <c r="AJ62" s="30">
        <f ca="1">IF(AJ$1=DATE(2026,1,1),AD62,IF(MOD(MONTH(AJ$1),Предпосылки!$C56)=Предпосылки!$C57,AI62*Предпосылки!$C55+AI62,AI62))</f>
        <v>1.4332499999999999</v>
      </c>
      <c r="AK62" s="30">
        <f ca="1">IF(AK$1=DATE(2026,1,1),AE62,IF(MOD(MONTH(AK$1),Предпосылки!$C56)=Предпосылки!$C57,AJ62*Предпосылки!$C55+AJ62,AJ62))</f>
        <v>1.4332499999999999</v>
      </c>
      <c r="AL62" s="30">
        <f ca="1">IF(AL$1=DATE(2026,1,1),AF62,IF(MOD(MONTH(AL$1),Предпосылки!$C56)=Предпосылки!$C57,AK62*Предпосылки!$C55+AK62,AK62))</f>
        <v>1.4332499999999999</v>
      </c>
      <c r="AM62" s="30">
        <f ca="1">IF(AM$1=DATE(2026,1,1),AG62,IF(MOD(MONTH(AM$1),Предпосылки!$C56)=Предпосылки!$C57,AL62*Предпосылки!$C55+AL62,AL62))</f>
        <v>1.4332499999999999</v>
      </c>
      <c r="AN62" s="30">
        <f ca="1">IF(AN$1=DATE(2026,1,1),AH62,IF(MOD(MONTH(AN$1),Предпосылки!$C56)=Предпосылки!$C57,AM62*Предпосылки!$C55+AM62,AM62))</f>
        <v>1.4332499999999999</v>
      </c>
      <c r="AO62" s="30">
        <f ca="1">IF(AO$1=DATE(2026,1,1),AI62,IF(MOD(MONTH(AO$1),Предпосылки!$C56)=Предпосылки!$C57,AN62*Предпосылки!$C55+AN62,AN62))</f>
        <v>1.4332499999999999</v>
      </c>
      <c r="AP62" s="30">
        <f ca="1">IF(AP$1=DATE(2026,1,1),AJ62,IF(MOD(MONTH(AP$1),Предпосылки!$C56)=Предпосылки!$C57,AO62*Предпосылки!$C55+AO62,AO62))</f>
        <v>1.4332499999999999</v>
      </c>
      <c r="AQ62" s="30">
        <f ca="1">IF(AQ$1=DATE(2026,1,1),AK62,IF(MOD(MONTH(AQ$1),Предпосылки!$C56)=Предпосылки!$C57,AP62*Предпосылки!$C55+AP62,AP62))</f>
        <v>1.4332499999999999</v>
      </c>
      <c r="AR62" s="30">
        <f ca="1">IF(AR$1=DATE(2026,1,1),AL62,IF(MOD(MONTH(AR$1),Предпосылки!$C56)=Предпосылки!$C57,AQ62*Предпосылки!$C55+AQ62,AQ62))</f>
        <v>1.4332499999999999</v>
      </c>
      <c r="AS62" s="30">
        <f ca="1">IF(AS$1=DATE(2026,1,1),AM62,IF(MOD(MONTH(AS$1),Предпосылки!$C56)=Предпосылки!$C57,AR62*Предпосылки!$C55+AR62,AR62))</f>
        <v>1.4332499999999999</v>
      </c>
      <c r="AT62" s="30">
        <f ca="1">IF(AT$1=DATE(2026,1,1),AN62,IF(MOD(MONTH(AT$1),Предпосылки!$C56)=Предпосылки!$C57,AS62*Предпосылки!$C55+AS62,AS62))</f>
        <v>1.5049124999999999</v>
      </c>
    </row>
    <row r="63" spans="2:46" x14ac:dyDescent="0.35">
      <c r="D63" s="29"/>
      <c r="E63" s="29"/>
      <c r="F63" s="29"/>
      <c r="G63" s="29"/>
      <c r="H63" s="29"/>
    </row>
    <row r="64" spans="2:46" x14ac:dyDescent="0.35">
      <c r="B64" t="s">
        <v>100</v>
      </c>
      <c r="C64" t="s">
        <v>26</v>
      </c>
      <c r="E64" s="4"/>
      <c r="F64" s="29"/>
      <c r="G64" s="29"/>
      <c r="H64" s="29"/>
      <c r="J64" s="30">
        <f ca="1">J62/(1+Предпосылки!$C$54)</f>
        <v>1.0833333333333335</v>
      </c>
      <c r="K64" s="30">
        <f ca="1">K62/(1+Предпосылки!$C$54)</f>
        <v>1.0833333333333335</v>
      </c>
      <c r="L64" s="30">
        <f ca="1">L62/(1+Предпосылки!$C$54)</f>
        <v>1.0833333333333335</v>
      </c>
      <c r="M64" s="30">
        <f ca="1">M62/(1+Предпосылки!$C$54)</f>
        <v>1.0833333333333335</v>
      </c>
      <c r="N64" s="30">
        <f ca="1">N62/(1+Предпосылки!$C$54)</f>
        <v>1.0833333333333335</v>
      </c>
      <c r="O64" s="30">
        <f ca="1">O62/(1+Предпосылки!$C$54)</f>
        <v>1.0833333333333335</v>
      </c>
      <c r="P64" s="30">
        <f ca="1">P62/(1+Предпосылки!$C$54)</f>
        <v>1.0833333333333335</v>
      </c>
      <c r="Q64" s="30">
        <f ca="1">Q62/(1+Предпосылки!$C$54)</f>
        <v>1.0833333333333335</v>
      </c>
      <c r="R64" s="30">
        <f ca="1">R62/(1+Предпосылки!$C$54)</f>
        <v>1.0833333333333335</v>
      </c>
      <c r="S64" s="30">
        <f ca="1">S62/(1+Предпосылки!$C$54)</f>
        <v>1.0833333333333335</v>
      </c>
      <c r="T64" s="30">
        <f ca="1">T62/(1+Предпосылки!$C$54)</f>
        <v>1.0833333333333335</v>
      </c>
      <c r="U64" s="30">
        <f ca="1">U62/(1+Предпосылки!$C$54)</f>
        <v>1.0833333333333335</v>
      </c>
      <c r="V64" s="30">
        <f ca="1">V62/(1+Предпосылки!$C$54)</f>
        <v>1.1375</v>
      </c>
      <c r="W64" s="30">
        <f ca="1">W62/(1+Предпосылки!$C$54)</f>
        <v>1.1375</v>
      </c>
      <c r="X64" s="30">
        <f ca="1">X62/(1+Предпосылки!$C$54)</f>
        <v>1.1375</v>
      </c>
      <c r="Y64" s="30">
        <f ca="1">Y62/(1+Предпосылки!$C$54)</f>
        <v>1.1375</v>
      </c>
      <c r="Z64" s="30">
        <f ca="1">Z62/(1+Предпосылки!$C$54)</f>
        <v>1.1375</v>
      </c>
      <c r="AA64" s="30">
        <f ca="1">AA62/(1+Предпосылки!$C$54)</f>
        <v>1.1375</v>
      </c>
      <c r="AB64" s="30">
        <f ca="1">AB62/(1+Предпосылки!$C$54)</f>
        <v>1.1375</v>
      </c>
      <c r="AC64" s="30">
        <f ca="1">AC62/(1+Предпосылки!$C$54)</f>
        <v>1.1375</v>
      </c>
      <c r="AD64" s="30">
        <f ca="1">AD62/(1+Предпосылки!$C$54)</f>
        <v>1.1375</v>
      </c>
      <c r="AE64" s="30">
        <f ca="1">AE62/(1+Предпосылки!$C$54)</f>
        <v>1.1375</v>
      </c>
      <c r="AF64" s="30">
        <f ca="1">AF62/(1+Предпосылки!$C$54)</f>
        <v>1.1375</v>
      </c>
      <c r="AG64" s="30">
        <f ca="1">AG62/(1+Предпосылки!$C$54)</f>
        <v>1.1375</v>
      </c>
      <c r="AH64" s="30">
        <f ca="1">AH62/(1+Предпосылки!$C$54)</f>
        <v>1.194375</v>
      </c>
      <c r="AI64" s="30">
        <f ca="1">AI62/(1+Предпосылки!$C$54)</f>
        <v>1.194375</v>
      </c>
      <c r="AJ64" s="30">
        <f ca="1">AJ62/(1+Предпосылки!$C$54)</f>
        <v>1.194375</v>
      </c>
      <c r="AK64" s="30">
        <f ca="1">AK62/(1+Предпосылки!$C$54)</f>
        <v>1.194375</v>
      </c>
      <c r="AL64" s="30">
        <f ca="1">AL62/(1+Предпосылки!$C$54)</f>
        <v>1.194375</v>
      </c>
      <c r="AM64" s="30">
        <f ca="1">AM62/(1+Предпосылки!$C$54)</f>
        <v>1.194375</v>
      </c>
      <c r="AN64" s="30">
        <f ca="1">AN62/(1+Предпосылки!$C$54)</f>
        <v>1.194375</v>
      </c>
      <c r="AO64" s="30">
        <f ca="1">AO62/(1+Предпосылки!$C$54)</f>
        <v>1.194375</v>
      </c>
      <c r="AP64" s="30">
        <f ca="1">AP62/(1+Предпосылки!$C$54)</f>
        <v>1.194375</v>
      </c>
      <c r="AQ64" s="30">
        <f ca="1">AQ62/(1+Предпосылки!$C$54)</f>
        <v>1.194375</v>
      </c>
      <c r="AR64" s="30">
        <f ca="1">AR62/(1+Предпосылки!$C$54)</f>
        <v>1.194375</v>
      </c>
      <c r="AS64" s="30">
        <f ca="1">AS62/(1+Предпосылки!$C$54)</f>
        <v>1.194375</v>
      </c>
      <c r="AT64" s="30">
        <f ca="1">AT62/(1+Предпосылки!$C$54)</f>
        <v>1.25409375</v>
      </c>
    </row>
    <row r="65" spans="2:46" x14ac:dyDescent="0.35">
      <c r="D65" s="29"/>
      <c r="E65" s="29"/>
      <c r="F65" s="29"/>
      <c r="G65" s="29"/>
      <c r="H65" s="29"/>
    </row>
    <row r="66" spans="2:46" x14ac:dyDescent="0.35">
      <c r="B66" t="s">
        <v>101</v>
      </c>
      <c r="C66" t="s">
        <v>42</v>
      </c>
      <c r="D66" s="29"/>
      <c r="E66" s="29"/>
      <c r="F66" s="29"/>
      <c r="G66" s="29"/>
      <c r="H66" s="29"/>
      <c r="J66" s="78">
        <f t="shared" ref="J66:AT66" ca="1" si="28">J39</f>
        <v>312.5</v>
      </c>
      <c r="K66" s="78">
        <f t="shared" ca="1" si="28"/>
        <v>315.625</v>
      </c>
      <c r="L66" s="78">
        <f t="shared" ca="1" si="28"/>
        <v>318.78125</v>
      </c>
      <c r="M66" s="78">
        <f t="shared" ca="1" si="28"/>
        <v>321.96906249999995</v>
      </c>
      <c r="N66" s="78">
        <f t="shared" ca="1" si="28"/>
        <v>650.37750625000001</v>
      </c>
      <c r="O66" s="78">
        <f t="shared" ca="1" si="28"/>
        <v>328.44064065624997</v>
      </c>
      <c r="P66" s="78">
        <f t="shared" ca="1" si="28"/>
        <v>331.72504706281245</v>
      </c>
      <c r="Q66" s="78">
        <f t="shared" ca="1" si="28"/>
        <v>502.56344630016088</v>
      </c>
      <c r="R66" s="78">
        <f t="shared" ca="1" si="28"/>
        <v>338.39272050877497</v>
      </c>
      <c r="S66" s="78">
        <f t="shared" ca="1" si="28"/>
        <v>341.77664771386276</v>
      </c>
      <c r="T66" s="78">
        <f t="shared" ca="1" si="28"/>
        <v>345.19441419100133</v>
      </c>
      <c r="U66" s="78">
        <f t="shared" ca="1" si="28"/>
        <v>697.2927166658227</v>
      </c>
      <c r="V66" s="78">
        <f t="shared" ca="1" si="28"/>
        <v>352.13282191624046</v>
      </c>
      <c r="W66" s="78">
        <f t="shared" ca="1" si="28"/>
        <v>355.65415013540286</v>
      </c>
      <c r="X66" s="78">
        <f t="shared" ca="1" si="28"/>
        <v>359.21069163675696</v>
      </c>
      <c r="Y66" s="78">
        <f t="shared" ca="1" si="28"/>
        <v>362.80279855312449</v>
      </c>
      <c r="Z66" s="78">
        <f t="shared" ca="1" si="28"/>
        <v>732.86165307731153</v>
      </c>
      <c r="AA66" s="78">
        <f t="shared" ca="1" si="28"/>
        <v>370.09513480404229</v>
      </c>
      <c r="AB66" s="78">
        <f t="shared" ca="1" si="28"/>
        <v>373.79608615208275</v>
      </c>
      <c r="AC66" s="78">
        <f t="shared" ca="1" si="28"/>
        <v>566.30107052040523</v>
      </c>
      <c r="AD66" s="78">
        <f t="shared" ca="1" si="28"/>
        <v>381.30938748373956</v>
      </c>
      <c r="AE66" s="78">
        <f t="shared" ca="1" si="28"/>
        <v>385.12248135857692</v>
      </c>
      <c r="AF66" s="78">
        <f t="shared" ca="1" si="28"/>
        <v>388.97370617216274</v>
      </c>
      <c r="AG66" s="78">
        <f t="shared" ca="1" si="28"/>
        <v>785.72688646776874</v>
      </c>
      <c r="AH66" s="78">
        <f t="shared" ca="1" si="28"/>
        <v>396.79207766622324</v>
      </c>
      <c r="AI66" s="78">
        <f t="shared" ca="1" si="28"/>
        <v>400.75999844288543</v>
      </c>
      <c r="AJ66" s="78">
        <f t="shared" ca="1" si="28"/>
        <v>404.76759842731423</v>
      </c>
      <c r="AK66" s="78">
        <f t="shared" ca="1" si="28"/>
        <v>408.81527441158744</v>
      </c>
      <c r="AL66" s="78">
        <f t="shared" ca="1" si="28"/>
        <v>825.8068543114066</v>
      </c>
      <c r="AM66" s="78">
        <f t="shared" ca="1" si="28"/>
        <v>417.03246142726033</v>
      </c>
      <c r="AN66" s="78">
        <f t="shared" ca="1" si="28"/>
        <v>421.20278604153299</v>
      </c>
      <c r="AO66" s="78">
        <f t="shared" ca="1" si="28"/>
        <v>638.1222208529224</v>
      </c>
      <c r="AP66" s="78">
        <f t="shared" ca="1" si="28"/>
        <v>429.66896204096781</v>
      </c>
      <c r="AQ66" s="78">
        <f t="shared" ca="1" si="28"/>
        <v>433.96565166137754</v>
      </c>
      <c r="AR66" s="78">
        <f t="shared" ca="1" si="28"/>
        <v>438.30530817799126</v>
      </c>
      <c r="AS66" s="78">
        <f t="shared" ca="1" si="28"/>
        <v>885.37672251954234</v>
      </c>
      <c r="AT66" s="78">
        <f t="shared" ca="1" si="28"/>
        <v>447.11524487236892</v>
      </c>
    </row>
    <row r="68" spans="2:46" x14ac:dyDescent="0.35">
      <c r="B68" t="s">
        <v>102</v>
      </c>
      <c r="J68" s="13">
        <f t="shared" ref="J68:AT68" ca="1" si="29">J60*J62*J66/1000</f>
        <v>6.09375</v>
      </c>
      <c r="K68" s="13">
        <f t="shared" ca="1" si="29"/>
        <v>6.1546874999999996</v>
      </c>
      <c r="L68" s="13">
        <f t="shared" ca="1" si="29"/>
        <v>6.216234375</v>
      </c>
      <c r="M68" s="13">
        <f t="shared" ca="1" si="29"/>
        <v>6.2783967187499989</v>
      </c>
      <c r="N68" s="13">
        <f t="shared" ca="1" si="29"/>
        <v>12.682361371875</v>
      </c>
      <c r="O68" s="13">
        <f t="shared" ca="1" si="29"/>
        <v>6.4045924927968745</v>
      </c>
      <c r="P68" s="13">
        <f t="shared" ca="1" si="29"/>
        <v>6.4686384177248426</v>
      </c>
      <c r="Q68" s="13">
        <f t="shared" ca="1" si="29"/>
        <v>9.7999872028531367</v>
      </c>
      <c r="R68" s="13">
        <f t="shared" ca="1" si="29"/>
        <v>6.598658049921112</v>
      </c>
      <c r="S68" s="13">
        <f t="shared" ca="1" si="29"/>
        <v>6.664644630420324</v>
      </c>
      <c r="T68" s="13">
        <f t="shared" ca="1" si="29"/>
        <v>6.731291076724526</v>
      </c>
      <c r="U68" s="13">
        <f t="shared" ca="1" si="29"/>
        <v>13.597207974983544</v>
      </c>
      <c r="V68" s="13">
        <f t="shared" ca="1" si="29"/>
        <v>7.209919528735024</v>
      </c>
      <c r="W68" s="13">
        <f t="shared" ca="1" si="29"/>
        <v>7.2820187240223744</v>
      </c>
      <c r="X68" s="13">
        <f t="shared" ca="1" si="29"/>
        <v>7.3548389112625987</v>
      </c>
      <c r="Y68" s="13">
        <f t="shared" ca="1" si="29"/>
        <v>7.4283873003752241</v>
      </c>
      <c r="Z68" s="13">
        <f t="shared" ca="1" si="29"/>
        <v>15.005342346757955</v>
      </c>
      <c r="AA68" s="13">
        <f t="shared" ca="1" si="29"/>
        <v>7.5776978851127659</v>
      </c>
      <c r="AB68" s="13">
        <f t="shared" ca="1" si="29"/>
        <v>7.6534748639638943</v>
      </c>
      <c r="AC68" s="13">
        <f t="shared" ca="1" si="29"/>
        <v>11.595014418905297</v>
      </c>
      <c r="AD68" s="13">
        <f t="shared" ca="1" si="29"/>
        <v>7.8073097087295684</v>
      </c>
      <c r="AE68" s="13">
        <f t="shared" ca="1" si="29"/>
        <v>7.8853828058168629</v>
      </c>
      <c r="AF68" s="13">
        <f t="shared" ca="1" si="29"/>
        <v>7.964236633875033</v>
      </c>
      <c r="AG68" s="13">
        <f t="shared" ca="1" si="29"/>
        <v>16.087758000427566</v>
      </c>
      <c r="AH68" s="13">
        <f t="shared" ca="1" si="29"/>
        <v>8.5305336797267159</v>
      </c>
      <c r="AI68" s="13">
        <f t="shared" ca="1" si="29"/>
        <v>8.6158390165239815</v>
      </c>
      <c r="AJ68" s="13">
        <f t="shared" ca="1" si="29"/>
        <v>8.7019974066892214</v>
      </c>
      <c r="AK68" s="13">
        <f t="shared" ca="1" si="29"/>
        <v>8.7890173807561158</v>
      </c>
      <c r="AL68" s="13">
        <f t="shared" ca="1" si="29"/>
        <v>17.753815109127352</v>
      </c>
      <c r="AM68" s="13">
        <f t="shared" ca="1" si="29"/>
        <v>8.9656766301093125</v>
      </c>
      <c r="AN68" s="13">
        <f t="shared" ca="1" si="29"/>
        <v>9.0553333964104059</v>
      </c>
      <c r="AO68" s="13">
        <f t="shared" ca="1" si="29"/>
        <v>13.718830095561763</v>
      </c>
      <c r="AP68" s="13">
        <f t="shared" ca="1" si="29"/>
        <v>9.2373455976782548</v>
      </c>
      <c r="AQ68" s="13">
        <f t="shared" ca="1" si="29"/>
        <v>9.3297190536550385</v>
      </c>
      <c r="AR68" s="13">
        <f t="shared" ca="1" si="29"/>
        <v>9.4230162441915883</v>
      </c>
      <c r="AS68" s="13">
        <f t="shared" ca="1" si="29"/>
        <v>19.034492813267011</v>
      </c>
      <c r="AT68" s="13">
        <f t="shared" ca="1" si="29"/>
        <v>10.093039814234833</v>
      </c>
    </row>
    <row r="70" spans="2:46" s="17" customFormat="1" x14ac:dyDescent="0.35">
      <c r="B70" s="18" t="s">
        <v>103</v>
      </c>
      <c r="C70" s="15" t="s">
        <v>14</v>
      </c>
      <c r="D70" s="16"/>
      <c r="E70" s="16"/>
      <c r="F70" s="16"/>
      <c r="G70" s="16"/>
      <c r="H70" s="16"/>
      <c r="J70" s="17">
        <f t="shared" ref="J70:AT70" ca="1" si="30">J60*J64*J66/1000</f>
        <v>5.0781250000000009</v>
      </c>
      <c r="K70" s="17">
        <f t="shared" ca="1" si="30"/>
        <v>5.1289062500000009</v>
      </c>
      <c r="L70" s="17">
        <f t="shared" ca="1" si="30"/>
        <v>5.1801953125000013</v>
      </c>
      <c r="M70" s="17">
        <f t="shared" ca="1" si="30"/>
        <v>5.231997265625</v>
      </c>
      <c r="N70" s="17">
        <f t="shared" ca="1" si="30"/>
        <v>10.568634476562501</v>
      </c>
      <c r="O70" s="17">
        <f t="shared" ca="1" si="30"/>
        <v>5.3371604106640635</v>
      </c>
      <c r="P70" s="17">
        <f t="shared" ca="1" si="30"/>
        <v>5.3905320147707032</v>
      </c>
      <c r="Q70" s="17">
        <f t="shared" ca="1" si="30"/>
        <v>8.166656002377616</v>
      </c>
      <c r="R70" s="17">
        <f t="shared" ca="1" si="30"/>
        <v>5.4988817082675938</v>
      </c>
      <c r="S70" s="17">
        <f t="shared" ca="1" si="30"/>
        <v>5.5538705253502716</v>
      </c>
      <c r="T70" s="17">
        <f t="shared" ca="1" si="30"/>
        <v>5.6094092306037728</v>
      </c>
      <c r="U70" s="17">
        <f t="shared" ca="1" si="30"/>
        <v>11.331006645819622</v>
      </c>
      <c r="V70" s="17">
        <f t="shared" ca="1" si="30"/>
        <v>6.0082662739458526</v>
      </c>
      <c r="W70" s="17">
        <f t="shared" ca="1" si="30"/>
        <v>6.0683489366853109</v>
      </c>
      <c r="X70" s="17">
        <f t="shared" ca="1" si="30"/>
        <v>6.1290324260521656</v>
      </c>
      <c r="Y70" s="17">
        <f t="shared" ca="1" si="30"/>
        <v>6.1903227503126868</v>
      </c>
      <c r="Z70" s="17">
        <f t="shared" ca="1" si="30"/>
        <v>12.504451955631628</v>
      </c>
      <c r="AA70" s="17">
        <f t="shared" ca="1" si="30"/>
        <v>6.3147482375939719</v>
      </c>
      <c r="AB70" s="17">
        <f t="shared" ca="1" si="30"/>
        <v>6.3778957199699118</v>
      </c>
      <c r="AC70" s="17">
        <f t="shared" ca="1" si="30"/>
        <v>9.662512015754416</v>
      </c>
      <c r="AD70" s="17">
        <f t="shared" ca="1" si="30"/>
        <v>6.5060914239413057</v>
      </c>
      <c r="AE70" s="17">
        <f t="shared" ca="1" si="30"/>
        <v>6.5711523381807186</v>
      </c>
      <c r="AF70" s="17">
        <f t="shared" ca="1" si="30"/>
        <v>6.6368638615625271</v>
      </c>
      <c r="AG70" s="17">
        <f t="shared" ca="1" si="30"/>
        <v>13.406465000356304</v>
      </c>
      <c r="AH70" s="17">
        <f t="shared" ca="1" si="30"/>
        <v>7.10877806643893</v>
      </c>
      <c r="AI70" s="17">
        <f t="shared" ca="1" si="30"/>
        <v>7.1798658471033185</v>
      </c>
      <c r="AJ70" s="17">
        <f t="shared" ca="1" si="30"/>
        <v>7.2516645055743512</v>
      </c>
      <c r="AK70" s="17">
        <f t="shared" ca="1" si="30"/>
        <v>7.3241811506300953</v>
      </c>
      <c r="AL70" s="17">
        <f t="shared" ca="1" si="30"/>
        <v>14.794845924272794</v>
      </c>
      <c r="AM70" s="17">
        <f t="shared" ca="1" si="30"/>
        <v>7.4713971917577604</v>
      </c>
      <c r="AN70" s="17">
        <f t="shared" ca="1" si="30"/>
        <v>7.5461111636753389</v>
      </c>
      <c r="AO70" s="17">
        <f t="shared" ca="1" si="30"/>
        <v>11.432358412968137</v>
      </c>
      <c r="AP70" s="17">
        <f t="shared" ca="1" si="30"/>
        <v>7.6977879980652135</v>
      </c>
      <c r="AQ70" s="17">
        <f t="shared" ca="1" si="30"/>
        <v>7.7747658780458657</v>
      </c>
      <c r="AR70" s="17">
        <f t="shared" ca="1" si="30"/>
        <v>7.8525135368263248</v>
      </c>
      <c r="AS70" s="17">
        <f t="shared" ca="1" si="30"/>
        <v>15.862077344389174</v>
      </c>
      <c r="AT70" s="17">
        <f t="shared" ca="1" si="30"/>
        <v>8.4108665118623609</v>
      </c>
    </row>
    <row r="71" spans="2:46" x14ac:dyDescent="0.35">
      <c r="B71" t="s">
        <v>41</v>
      </c>
      <c r="C71" t="s">
        <v>42</v>
      </c>
      <c r="H71" s="29"/>
      <c r="J71" s="30">
        <f ca="1">IF(J$1=DATE(2026,1,1),Предпосылки!C59,IF(MOD(MONTH(J$1),Предпосылки!$C61)=Предпосылки!$C62,I71*Предпосылки!$C60+I71,I71))</f>
        <v>5</v>
      </c>
      <c r="K71" s="30">
        <f ca="1">IF(K$1=DATE(2026,1,1),Предпосылки!C60,IF(MOD(MONTH(K$1),Предпосылки!$C61)=Предпосылки!$C62,J71*Предпосылки!$C60+J71,J71))</f>
        <v>5</v>
      </c>
      <c r="L71" s="30">
        <f ca="1">IF(L$1=DATE(2026,1,1),Предпосылки!C61,IF(MOD(MONTH(L$1),Предпосылки!$C61)=Предпосылки!$C62,K71*Предпосылки!$C60+K71,K71))</f>
        <v>5</v>
      </c>
      <c r="M71" s="30">
        <f ca="1">IF(M$1=DATE(2026,1,1),Предпосылки!C62,IF(MOD(MONTH(M$1),Предпосылки!$C61)=Предпосылки!$C62,L71*Предпосылки!$C60+L71,L71))</f>
        <v>5</v>
      </c>
      <c r="N71" s="30">
        <f ca="1">IF(N$1=DATE(2026,1,1),H71,IF(MOD(MONTH(N$1),Предпосылки!$C61)=Предпосылки!$C62,M71*Предпосылки!$C60+M71,M71))</f>
        <v>5</v>
      </c>
      <c r="O71" s="30">
        <f ca="1">IF(O$1=DATE(2026,1,1),I71,IF(MOD(MONTH(O$1),Предпосылки!$C61)=Предпосылки!$C62,N71*Предпосылки!$C60+N71,N71))</f>
        <v>5</v>
      </c>
      <c r="P71" s="30">
        <f ca="1">IF(P$1=DATE(2026,1,1),J71,IF(MOD(MONTH(P$1),Предпосылки!$C61)=Предпосылки!$C62,O71*Предпосылки!$C60+O71,O71))</f>
        <v>5</v>
      </c>
      <c r="Q71" s="30">
        <f ca="1">IF(Q$1=DATE(2026,1,1),K71,IF(MOD(MONTH(Q$1),Предпосылки!$C61)=Предпосылки!$C62,P71*Предпосылки!$C60+P71,P71))</f>
        <v>5</v>
      </c>
      <c r="R71" s="30">
        <f ca="1">IF(R$1=DATE(2026,1,1),L71,IF(MOD(MONTH(R$1),Предпосылки!$C61)=Предпосылки!$C62,Q71*Предпосылки!$C60+Q71,Q71))</f>
        <v>5</v>
      </c>
      <c r="S71" s="30">
        <f ca="1">IF(S$1=DATE(2026,1,1),M71,IF(MOD(MONTH(S$1),Предпосылки!$C61)=Предпосылки!$C62,R71*Предпосылки!$C60+R71,R71))</f>
        <v>5</v>
      </c>
      <c r="T71" s="30">
        <f ca="1">IF(T$1=DATE(2026,1,1),N71,IF(MOD(MONTH(T$1),Предпосылки!$C61)=Предпосылки!$C62,S71*Предпосылки!$C60+S71,S71))</f>
        <v>5</v>
      </c>
      <c r="U71" s="30">
        <f ca="1">IF(U$1=DATE(2026,1,1),O71,IF(MOD(MONTH(U$1),Предпосылки!$C61)=Предпосылки!$C62,T71*Предпосылки!$C60+T71,T71))</f>
        <v>5</v>
      </c>
      <c r="V71" s="30">
        <f ca="1">IF(V$1=DATE(2026,1,1),P71,IF(MOD(MONTH(V$1),Предпосылки!$C61)=Предпосылки!$C62,U71*Предпосылки!$C60+U71,U71))</f>
        <v>5</v>
      </c>
      <c r="W71" s="30">
        <f ca="1">IF(W$1=DATE(2026,1,1),Q71,IF(MOD(MONTH(W$1),Предпосылки!$C61)=Предпосылки!$C62,V71*Предпосылки!$C60+V71,V71))</f>
        <v>5</v>
      </c>
      <c r="X71" s="30">
        <f ca="1">IF(X$1=DATE(2026,1,1),R71,IF(MOD(MONTH(X$1),Предпосылки!$C61)=Предпосылки!$C62,W71*Предпосылки!$C60+W71,W71))</f>
        <v>5</v>
      </c>
      <c r="Y71" s="30">
        <f ca="1">IF(Y$1=DATE(2026,1,1),S71,IF(MOD(MONTH(Y$1),Предпосылки!$C61)=Предпосылки!$C62,X71*Предпосылки!$C60+X71,X71))</f>
        <v>5</v>
      </c>
      <c r="Z71" s="30">
        <f ca="1">IF(Z$1=DATE(2026,1,1),T71,IF(MOD(MONTH(Z$1),Предпосылки!$C61)=Предпосылки!$C62,Y71*Предпосылки!$C60+Y71,Y71))</f>
        <v>5</v>
      </c>
      <c r="AA71" s="30">
        <f ca="1">IF(AA$1=DATE(2026,1,1),U71,IF(MOD(MONTH(AA$1),Предпосылки!$C61)=Предпосылки!$C62,Z71*Предпосылки!$C60+Z71,Z71))</f>
        <v>5</v>
      </c>
      <c r="AB71" s="30">
        <f ca="1">IF(AB$1=DATE(2026,1,1),V71,IF(MOD(MONTH(AB$1),Предпосылки!$C61)=Предпосылки!$C62,AA71*Предпосылки!$C60+AA71,AA71))</f>
        <v>5</v>
      </c>
      <c r="AC71" s="30">
        <f ca="1">IF(AC$1=DATE(2026,1,1),W71,IF(MOD(MONTH(AC$1),Предпосылки!$C61)=Предпосылки!$C62,AB71*Предпосылки!$C60+AB71,AB71))</f>
        <v>5</v>
      </c>
      <c r="AD71" s="30">
        <f ca="1">IF(AD$1=DATE(2026,1,1),X71,IF(MOD(MONTH(AD$1),Предпосылки!$C61)=Предпосылки!$C62,AC71*Предпосылки!$C60+AC71,AC71))</f>
        <v>5</v>
      </c>
      <c r="AE71" s="30">
        <f ca="1">IF(AE$1=DATE(2026,1,1),Y71,IF(MOD(MONTH(AE$1),Предпосылки!$C61)=Предпосылки!$C62,AD71*Предпосылки!$C60+AD71,AD71))</f>
        <v>5</v>
      </c>
      <c r="AF71" s="30">
        <f ca="1">IF(AF$1=DATE(2026,1,1),Z71,IF(MOD(MONTH(AF$1),Предпосылки!$C61)=Предпосылки!$C62,AE71*Предпосылки!$C60+AE71,AE71))</f>
        <v>5</v>
      </c>
      <c r="AG71" s="30">
        <f ca="1">IF(AG$1=DATE(2026,1,1),AA71,IF(MOD(MONTH(AG$1),Предпосылки!$C61)=Предпосылки!$C62,AF71*Предпосылки!$C60+AF71,AF71))</f>
        <v>5</v>
      </c>
      <c r="AH71" s="30">
        <f ca="1">IF(AH$1=DATE(2026,1,1),AB71,IF(MOD(MONTH(AH$1),Предпосылки!$C61)=Предпосылки!$C62,AG71*Предпосылки!$C60+AG71,AG71))</f>
        <v>5</v>
      </c>
      <c r="AI71" s="30">
        <f ca="1">IF(AI$1=DATE(2026,1,1),AC71,IF(MOD(MONTH(AI$1),Предпосылки!$C61)=Предпосылки!$C62,AH71*Предпосылки!$C60+AH71,AH71))</f>
        <v>5</v>
      </c>
      <c r="AJ71" s="30">
        <f ca="1">IF(AJ$1=DATE(2026,1,1),AD71,IF(MOD(MONTH(AJ$1),Предпосылки!$C61)=Предпосылки!$C62,AI71*Предпосылки!$C60+AI71,AI71))</f>
        <v>5</v>
      </c>
      <c r="AK71" s="30">
        <f ca="1">IF(AK$1=DATE(2026,1,1),AE71,IF(MOD(MONTH(AK$1),Предпосылки!$C61)=Предпосылки!$C62,AJ71*Предпосылки!$C60+AJ71,AJ71))</f>
        <v>5</v>
      </c>
      <c r="AL71" s="30">
        <f ca="1">IF(AL$1=DATE(2026,1,1),AF71,IF(MOD(MONTH(AL$1),Предпосылки!$C61)=Предпосылки!$C62,AK71*Предпосылки!$C60+AK71,AK71))</f>
        <v>5</v>
      </c>
      <c r="AM71" s="30">
        <f ca="1">IF(AM$1=DATE(2026,1,1),AG71,IF(MOD(MONTH(AM$1),Предпосылки!$C61)=Предпосылки!$C62,AL71*Предпосылки!$C60+AL71,AL71))</f>
        <v>5</v>
      </c>
      <c r="AN71" s="30">
        <f ca="1">IF(AN$1=DATE(2026,1,1),AH71,IF(MOD(MONTH(AN$1),Предпосылки!$C61)=Предпосылки!$C62,AM71*Предпосылки!$C60+AM71,AM71))</f>
        <v>5</v>
      </c>
      <c r="AO71" s="30">
        <f ca="1">IF(AO$1=DATE(2026,1,1),AI71,IF(MOD(MONTH(AO$1),Предпосылки!$C61)=Предпосылки!$C62,AN71*Предпосылки!$C60+AN71,AN71))</f>
        <v>5</v>
      </c>
      <c r="AP71" s="30">
        <f ca="1">IF(AP$1=DATE(2026,1,1),AJ71,IF(MOD(MONTH(AP$1),Предпосылки!$C61)=Предпосылки!$C62,AO71*Предпосылки!$C60+AO71,AO71))</f>
        <v>5</v>
      </c>
      <c r="AQ71" s="30">
        <f ca="1">IF(AQ$1=DATE(2026,1,1),AK71,IF(MOD(MONTH(AQ$1),Предпосылки!$C61)=Предпосылки!$C62,AP71*Предпосылки!$C60+AP71,AP71))</f>
        <v>5</v>
      </c>
      <c r="AR71" s="30">
        <f ca="1">IF(AR$1=DATE(2026,1,1),AL71,IF(MOD(MONTH(AR$1),Предпосылки!$C61)=Предпосылки!$C62,AQ71*Предпосылки!$C60+AQ71,AQ71))</f>
        <v>5</v>
      </c>
      <c r="AS71" s="30">
        <f ca="1">IF(AS$1=DATE(2026,1,1),AM71,IF(MOD(MONTH(AS$1),Предпосылки!$C61)=Предпосылки!$C62,AR71*Предпосылки!$C60+AR71,AR71))</f>
        <v>5</v>
      </c>
      <c r="AT71" s="30">
        <f ca="1">IF(AT$1=DATE(2026,1,1),AN71,IF(MOD(MONTH(AT$1),Предпосылки!$C61)=Предпосылки!$C62,AS71*Предпосылки!$C60+AS71,AS71))</f>
        <v>5</v>
      </c>
    </row>
    <row r="72" spans="2:46" x14ac:dyDescent="0.35">
      <c r="D72" s="29"/>
      <c r="E72" s="29"/>
      <c r="F72" s="29"/>
      <c r="G72" s="29"/>
      <c r="H72" s="29"/>
    </row>
    <row r="73" spans="2:46" x14ac:dyDescent="0.35">
      <c r="B73" t="s">
        <v>45</v>
      </c>
      <c r="C73" t="s">
        <v>26</v>
      </c>
      <c r="H73" s="29"/>
      <c r="J73" s="30">
        <f ca="1">IF(J$1=DATE(2026,1,1),Предпосылки!C64,IF(MOD(MONTH(J3),Предпосылки!$C66)=Предпосылки!$C67,I73*Предпосылки!$C65+I73,I73))</f>
        <v>0.5</v>
      </c>
      <c r="K73" s="30">
        <f ca="1">IF(K$1=DATE(2026,1,1),Предпосылки!C65,IF(MOD(MONTH(K3),Предпосылки!$C66)=Предпосылки!$C67,J73*Предпосылки!$C65+J73,J73))</f>
        <v>0.5</v>
      </c>
      <c r="L73" s="30">
        <f ca="1">IF(L$1=DATE(2026,1,1),Предпосылки!C66,IF(MOD(MONTH(L3),Предпосылки!$C66)=Предпосылки!$C67,K73*Предпосылки!$C65+K73,K73))</f>
        <v>0.5</v>
      </c>
      <c r="M73" s="30">
        <f ca="1">IF(M$1=DATE(2026,1,1),Предпосылки!C67,IF(MOD(MONTH(M3),Предпосылки!$C66)=Предпосылки!$C67,L73*Предпосылки!$C65+L73,L73))</f>
        <v>0.5</v>
      </c>
      <c r="N73" s="30">
        <f ca="1">IF(N$1=DATE(2026,1,1),H73,IF(MOD(MONTH(N3),Предпосылки!$C66)=Предпосылки!$C67,M73*Предпосылки!$C65+M73,M73))</f>
        <v>0.5</v>
      </c>
      <c r="O73" s="30">
        <f ca="1">IF(O$1=DATE(2026,1,1),I73,IF(MOD(MONTH(O3),Предпосылки!$C66)=Предпосылки!$C67,N73*Предпосылки!$C65+N73,N73))</f>
        <v>0.5</v>
      </c>
      <c r="P73" s="30">
        <f ca="1">IF(P$1=DATE(2026,1,1),J73,IF(MOD(MONTH(P3),Предпосылки!$C66)=Предпосылки!$C67,O73*Предпосылки!$C65+O73,O73))</f>
        <v>0.5</v>
      </c>
      <c r="Q73" s="30">
        <f ca="1">IF(Q$1=DATE(2026,1,1),K73,IF(MOD(MONTH(Q3),Предпосылки!$C66)=Предпосылки!$C67,P73*Предпосылки!$C65+P73,P73))</f>
        <v>0.5</v>
      </c>
      <c r="R73" s="30">
        <f ca="1">IF(R$1=DATE(2026,1,1),L73,IF(MOD(MONTH(R3),Предпосылки!$C66)=Предпосылки!$C67,Q73*Предпосылки!$C65+Q73,Q73))</f>
        <v>0.5</v>
      </c>
      <c r="S73" s="30">
        <f ca="1">IF(S$1=DATE(2026,1,1),M73,IF(MOD(MONTH(S3),Предпосылки!$C66)=Предпосылки!$C67,R73*Предпосылки!$C65+R73,R73))</f>
        <v>0.5</v>
      </c>
      <c r="T73" s="30">
        <f ca="1">IF(T$1=DATE(2026,1,1),N73,IF(MOD(MONTH(T3),Предпосылки!$C66)=Предпосылки!$C67,S73*Предпосылки!$C65+S73,S73))</f>
        <v>0.5</v>
      </c>
      <c r="U73" s="30">
        <f ca="1">IF(U$1=DATE(2026,1,1),O73,IF(MOD(MONTH(U3),Предпосылки!$C66)=Предпосылки!$C67,T73*Предпосылки!$C65+T73,T73))</f>
        <v>0.5</v>
      </c>
      <c r="V73" s="30">
        <f ca="1">IF(V$1=DATE(2026,1,1),P73,IF(MOD(MONTH(V3),Предпосылки!$C66)=Предпосылки!$C67,U73*Предпосылки!$C65+U73,U73))</f>
        <v>0.5</v>
      </c>
      <c r="W73" s="30">
        <f ca="1">IF(W$1=DATE(2026,1,1),Q73,IF(MOD(MONTH(W3),Предпосылки!$C66)=Предпосылки!$C67,V73*Предпосылки!$C65+V73,V73))</f>
        <v>0.5</v>
      </c>
      <c r="X73" s="30">
        <f ca="1">IF(X$1=DATE(2026,1,1),R73,IF(MOD(MONTH(X3),Предпосылки!$C66)=Предпосылки!$C67,W73*Предпосылки!$C65+W73,W73))</f>
        <v>0.5</v>
      </c>
      <c r="Y73" s="30">
        <f ca="1">IF(Y$1=DATE(2026,1,1),S73,IF(MOD(MONTH(Y3),Предпосылки!$C66)=Предпосылки!$C67,X73*Предпосылки!$C65+X73,X73))</f>
        <v>0.5</v>
      </c>
      <c r="Z73" s="30">
        <f ca="1">IF(Z$1=DATE(2026,1,1),T73,IF(MOD(MONTH(Z3),Предпосылки!$C66)=Предпосылки!$C67,Y73*Предпосылки!$C65+Y73,Y73))</f>
        <v>0.5</v>
      </c>
      <c r="AA73" s="30">
        <f ca="1">IF(AA$1=DATE(2026,1,1),U73,IF(MOD(MONTH(AA3),Предпосылки!$C66)=Предпосылки!$C67,Z73*Предпосылки!$C65+Z73,Z73))</f>
        <v>0.5</v>
      </c>
      <c r="AB73" s="30">
        <f ca="1">IF(AB$1=DATE(2026,1,1),V73,IF(MOD(MONTH(AB3),Предпосылки!$C66)=Предпосылки!$C67,AA73*Предпосылки!$C65+AA73,AA73))</f>
        <v>0.5</v>
      </c>
      <c r="AC73" s="30">
        <f ca="1">IF(AC$1=DATE(2026,1,1),W73,IF(MOD(MONTH(AC3),Предпосылки!$C66)=Предпосылки!$C67,AB73*Предпосылки!$C65+AB73,AB73))</f>
        <v>0.5</v>
      </c>
      <c r="AD73" s="30">
        <f ca="1">IF(AD$1=DATE(2026,1,1),X73,IF(MOD(MONTH(AD3),Предпосылки!$C66)=Предпосылки!$C67,AC73*Предпосылки!$C65+AC73,AC73))</f>
        <v>0.5</v>
      </c>
      <c r="AE73" s="30">
        <f ca="1">IF(AE$1=DATE(2026,1,1),Y73,IF(MOD(MONTH(AE3),Предпосылки!$C66)=Предпосылки!$C67,AD73*Предпосылки!$C65+AD73,AD73))</f>
        <v>0.5</v>
      </c>
      <c r="AF73" s="30">
        <f ca="1">IF(AF$1=DATE(2026,1,1),Z73,IF(MOD(MONTH(AF3),Предпосылки!$C66)=Предпосылки!$C67,AE73*Предпосылки!$C65+AE73,AE73))</f>
        <v>0.5</v>
      </c>
      <c r="AG73" s="30">
        <f ca="1">IF(AG$1=DATE(2026,1,1),AA73,IF(MOD(MONTH(AG3),Предпосылки!$C66)=Предпосылки!$C67,AF73*Предпосылки!$C65+AF73,AF73))</f>
        <v>0.5</v>
      </c>
      <c r="AH73" s="30">
        <f ca="1">IF(AH$1=DATE(2026,1,1),AB73,IF(MOD(MONTH(AH3),Предпосылки!$C66)=Предпосылки!$C67,AG73*Предпосылки!$C65+AG73,AG73))</f>
        <v>0.5</v>
      </c>
      <c r="AI73" s="30">
        <f ca="1">IF(AI$1=DATE(2026,1,1),AC73,IF(MOD(MONTH(AI3),Предпосылки!$C66)=Предпосылки!$C67,AH73*Предпосылки!$C65+AH73,AH73))</f>
        <v>0.5</v>
      </c>
      <c r="AJ73" s="30">
        <f ca="1">IF(AJ$1=DATE(2026,1,1),AD73,IF(MOD(MONTH(AJ3),Предпосылки!$C66)=Предпосылки!$C67,AI73*Предпосылки!$C65+AI73,AI73))</f>
        <v>0.5</v>
      </c>
      <c r="AK73" s="30">
        <f ca="1">IF(AK$1=DATE(2026,1,1),AE73,IF(MOD(MONTH(AK3),Предпосылки!$C66)=Предпосылки!$C67,AJ73*Предпосылки!$C65+AJ73,AJ73))</f>
        <v>0.5</v>
      </c>
      <c r="AL73" s="30">
        <f ca="1">IF(AL$1=DATE(2026,1,1),AF73,IF(MOD(MONTH(AL3),Предпосылки!$C66)=Предпосылки!$C67,AK73*Предпосылки!$C65+AK73,AK73))</f>
        <v>0.5</v>
      </c>
      <c r="AM73" s="30">
        <f ca="1">IF(AM$1=DATE(2026,1,1),AG73,IF(MOD(MONTH(AM3),Предпосылки!$C66)=Предпосылки!$C67,AL73*Предпосылки!$C65+AL73,AL73))</f>
        <v>0.5</v>
      </c>
      <c r="AN73" s="30">
        <f ca="1">IF(AN$1=DATE(2026,1,1),AH73,IF(MOD(MONTH(AN3),Предпосылки!$C66)=Предпосылки!$C67,AM73*Предпосылки!$C65+AM73,AM73))</f>
        <v>0.5</v>
      </c>
      <c r="AO73" s="30">
        <f ca="1">IF(AO$1=DATE(2026,1,1),AI73,IF(MOD(MONTH(AO3),Предпосылки!$C66)=Предпосылки!$C67,AN73*Предпосылки!$C65+AN73,AN73))</f>
        <v>0.5</v>
      </c>
      <c r="AP73" s="30">
        <f ca="1">IF(AP$1=DATE(2026,1,1),AJ73,IF(MOD(MONTH(AP3),Предпосылки!$C66)=Предпосылки!$C67,AO73*Предпосылки!$C65+AO73,AO73))</f>
        <v>0.5</v>
      </c>
      <c r="AQ73" s="30">
        <f ca="1">IF(AQ$1=DATE(2026,1,1),AK73,IF(MOD(MONTH(AQ3),Предпосылки!$C66)=Предпосылки!$C67,AP73*Предпосылки!$C65+AP73,AP73))</f>
        <v>0.5</v>
      </c>
      <c r="AR73" s="30">
        <f ca="1">IF(AR$1=DATE(2026,1,1),AL73,IF(MOD(MONTH(AR3),Предпосылки!$C66)=Предпосылки!$C67,AQ73*Предпосылки!$C65+AQ73,AQ73))</f>
        <v>0.5</v>
      </c>
      <c r="AS73" s="30">
        <f ca="1">IF(AS$1=DATE(2026,1,1),AM73,IF(MOD(MONTH(AS3),Предпосылки!$C66)=Предпосылки!$C67,AR73*Предпосылки!$C65+AR73,AR73))</f>
        <v>0.5</v>
      </c>
      <c r="AT73" s="30">
        <f ca="1">IF(AT$1=DATE(2026,1,1),AN73,IF(MOD(MONTH(AT3),Предпосылки!$C66)=Предпосылки!$C67,AS73*Предпосылки!$C65+AS73,AS73))</f>
        <v>0.5</v>
      </c>
    </row>
    <row r="74" spans="2:46" x14ac:dyDescent="0.35">
      <c r="D74" s="29"/>
      <c r="E74" s="29"/>
      <c r="F74" s="29"/>
      <c r="G74" s="29"/>
      <c r="H74" s="29"/>
    </row>
    <row r="75" spans="2:46" x14ac:dyDescent="0.35">
      <c r="B75" t="s">
        <v>104</v>
      </c>
      <c r="C75" t="s">
        <v>42</v>
      </c>
      <c r="D75" s="29"/>
      <c r="E75" s="29"/>
      <c r="F75" s="29"/>
      <c r="G75" s="29"/>
      <c r="H75" s="29"/>
      <c r="J75" s="78">
        <f t="shared" ref="J75:AT75" ca="1" si="31">J43</f>
        <v>50</v>
      </c>
      <c r="K75" s="78">
        <f t="shared" ca="1" si="31"/>
        <v>50.5</v>
      </c>
      <c r="L75" s="78">
        <f t="shared" ca="1" si="31"/>
        <v>51.005000000000003</v>
      </c>
      <c r="M75" s="78">
        <f t="shared" ca="1" si="31"/>
        <v>51.515050000000002</v>
      </c>
      <c r="N75" s="78">
        <f t="shared" ca="1" si="31"/>
        <v>104.060401</v>
      </c>
      <c r="O75" s="78">
        <f t="shared" ca="1" si="31"/>
        <v>52.550502504999997</v>
      </c>
      <c r="P75" s="78">
        <f t="shared" ca="1" si="31"/>
        <v>53.076007530049999</v>
      </c>
      <c r="Q75" s="78">
        <f t="shared" ca="1" si="31"/>
        <v>80.41015140802574</v>
      </c>
      <c r="R75" s="78">
        <f t="shared" ca="1" si="31"/>
        <v>54.142835281404004</v>
      </c>
      <c r="S75" s="78">
        <f t="shared" ca="1" si="31"/>
        <v>54.684263634218041</v>
      </c>
      <c r="T75" s="78">
        <f t="shared" ca="1" si="31"/>
        <v>55.231106270560218</v>
      </c>
      <c r="U75" s="78">
        <f t="shared" ca="1" si="31"/>
        <v>111.56683466653165</v>
      </c>
      <c r="V75" s="78">
        <f t="shared" ca="1" si="31"/>
        <v>56.341251506598482</v>
      </c>
      <c r="W75" s="78">
        <f t="shared" ca="1" si="31"/>
        <v>56.904664021664466</v>
      </c>
      <c r="X75" s="78">
        <f t="shared" ca="1" si="31"/>
        <v>57.473710661881114</v>
      </c>
      <c r="Y75" s="78">
        <f t="shared" ca="1" si="31"/>
        <v>58.048447768499926</v>
      </c>
      <c r="Z75" s="78">
        <f t="shared" ca="1" si="31"/>
        <v>117.25786449236985</v>
      </c>
      <c r="AA75" s="78">
        <f t="shared" ca="1" si="31"/>
        <v>59.215221568646776</v>
      </c>
      <c r="AB75" s="78">
        <f t="shared" ca="1" si="31"/>
        <v>59.807373784333244</v>
      </c>
      <c r="AC75" s="78">
        <f t="shared" ca="1" si="31"/>
        <v>90.608171283264852</v>
      </c>
      <c r="AD75" s="78">
        <f t="shared" ca="1" si="31"/>
        <v>61.009501997398338</v>
      </c>
      <c r="AE75" s="78">
        <f t="shared" ca="1" si="31"/>
        <v>61.619597017372321</v>
      </c>
      <c r="AF75" s="78">
        <f t="shared" ca="1" si="31"/>
        <v>62.235792987546041</v>
      </c>
      <c r="AG75" s="78">
        <f t="shared" ca="1" si="31"/>
        <v>125.71630183484301</v>
      </c>
      <c r="AH75" s="78">
        <f t="shared" ca="1" si="31"/>
        <v>63.486732426595722</v>
      </c>
      <c r="AI75" s="78">
        <f t="shared" ca="1" si="31"/>
        <v>64.121599750861677</v>
      </c>
      <c r="AJ75" s="78">
        <f t="shared" ca="1" si="31"/>
        <v>64.762815748370286</v>
      </c>
      <c r="AK75" s="78">
        <f t="shared" ca="1" si="31"/>
        <v>65.410443905853995</v>
      </c>
      <c r="AL75" s="78">
        <f t="shared" ca="1" si="31"/>
        <v>132.12909668982508</v>
      </c>
      <c r="AM75" s="78">
        <f t="shared" ca="1" si="31"/>
        <v>66.725193828361668</v>
      </c>
      <c r="AN75" s="78">
        <f t="shared" ca="1" si="31"/>
        <v>67.392445766645281</v>
      </c>
      <c r="AO75" s="78">
        <f t="shared" ca="1" si="31"/>
        <v>102.0995553364676</v>
      </c>
      <c r="AP75" s="78">
        <f t="shared" ca="1" si="31"/>
        <v>68.747033926554863</v>
      </c>
      <c r="AQ75" s="78">
        <f t="shared" ca="1" si="31"/>
        <v>69.434504265820408</v>
      </c>
      <c r="AR75" s="78">
        <f t="shared" ca="1" si="31"/>
        <v>70.128849308478607</v>
      </c>
      <c r="AS75" s="78">
        <f t="shared" ca="1" si="31"/>
        <v>141.66027560312679</v>
      </c>
      <c r="AT75" s="78">
        <f t="shared" ca="1" si="31"/>
        <v>71.538439179579029</v>
      </c>
    </row>
    <row r="77" spans="2:46" s="17" customFormat="1" x14ac:dyDescent="0.35">
      <c r="B77" s="14" t="s">
        <v>105</v>
      </c>
      <c r="C77" s="15" t="s">
        <v>14</v>
      </c>
      <c r="D77" s="16"/>
      <c r="E77" s="16"/>
      <c r="F77" s="16"/>
      <c r="G77" s="16"/>
      <c r="H77" s="16"/>
      <c r="J77" s="17">
        <f t="shared" ref="J77:AT77" ca="1" si="32">J71*J73*J75/1000</f>
        <v>0.125</v>
      </c>
      <c r="K77" s="17">
        <f t="shared" ca="1" si="32"/>
        <v>0.12625</v>
      </c>
      <c r="L77" s="17">
        <f t="shared" ca="1" si="32"/>
        <v>0.1275125</v>
      </c>
      <c r="M77" s="17">
        <f t="shared" ca="1" si="32"/>
        <v>0.12878762499999999</v>
      </c>
      <c r="N77" s="17">
        <f t="shared" ca="1" si="32"/>
        <v>0.26015100250000001</v>
      </c>
      <c r="O77" s="17">
        <f t="shared" ca="1" si="32"/>
        <v>0.13137625626249999</v>
      </c>
      <c r="P77" s="17">
        <f t="shared" ca="1" si="32"/>
        <v>0.13269001882512502</v>
      </c>
      <c r="Q77" s="17">
        <f t="shared" ca="1" si="32"/>
        <v>0.20102537852006436</v>
      </c>
      <c r="R77" s="17">
        <f t="shared" ca="1" si="32"/>
        <v>0.13535708820351003</v>
      </c>
      <c r="S77" s="17">
        <f t="shared" ca="1" si="32"/>
        <v>0.13671065908554511</v>
      </c>
      <c r="T77" s="17">
        <f t="shared" ca="1" si="32"/>
        <v>0.13807776567640054</v>
      </c>
      <c r="U77" s="17">
        <f t="shared" ca="1" si="32"/>
        <v>0.27891708666632914</v>
      </c>
      <c r="V77" s="17">
        <f t="shared" ca="1" si="32"/>
        <v>0.14085312876649622</v>
      </c>
      <c r="W77" s="17">
        <f t="shared" ca="1" si="32"/>
        <v>0.14226166005416116</v>
      </c>
      <c r="X77" s="17">
        <f t="shared" ca="1" si="32"/>
        <v>0.14368427665470279</v>
      </c>
      <c r="Y77" s="17">
        <f t="shared" ca="1" si="32"/>
        <v>0.14512111942124983</v>
      </c>
      <c r="Z77" s="17">
        <f t="shared" ca="1" si="32"/>
        <v>0.29314466123092459</v>
      </c>
      <c r="AA77" s="17">
        <f t="shared" ca="1" si="32"/>
        <v>0.14803805392161695</v>
      </c>
      <c r="AB77" s="17">
        <f t="shared" ca="1" si="32"/>
        <v>0.1495184344608331</v>
      </c>
      <c r="AC77" s="17">
        <f t="shared" ca="1" si="32"/>
        <v>0.22652042820816212</v>
      </c>
      <c r="AD77" s="17">
        <f t="shared" ca="1" si="32"/>
        <v>0.15252375499349585</v>
      </c>
      <c r="AE77" s="17">
        <f t="shared" ca="1" si="32"/>
        <v>0.15404899254343082</v>
      </c>
      <c r="AF77" s="17">
        <f t="shared" ca="1" si="32"/>
        <v>0.15558948246886509</v>
      </c>
      <c r="AG77" s="17">
        <f t="shared" ca="1" si="32"/>
        <v>0.31429075458710753</v>
      </c>
      <c r="AH77" s="17">
        <f t="shared" ca="1" si="32"/>
        <v>0.15871683106648932</v>
      </c>
      <c r="AI77" s="17">
        <f t="shared" ca="1" si="32"/>
        <v>0.16030399937715417</v>
      </c>
      <c r="AJ77" s="17">
        <f t="shared" ca="1" si="32"/>
        <v>0.16190703937092571</v>
      </c>
      <c r="AK77" s="17">
        <f t="shared" ca="1" si="32"/>
        <v>0.16352610976463497</v>
      </c>
      <c r="AL77" s="17">
        <f t="shared" ca="1" si="32"/>
        <v>0.33032274172456266</v>
      </c>
      <c r="AM77" s="17">
        <f t="shared" ca="1" si="32"/>
        <v>0.16681298457090418</v>
      </c>
      <c r="AN77" s="17">
        <f t="shared" ca="1" si="32"/>
        <v>0.1684811144166132</v>
      </c>
      <c r="AO77" s="17">
        <f t="shared" ca="1" si="32"/>
        <v>0.25524888834116899</v>
      </c>
      <c r="AP77" s="17">
        <f t="shared" ca="1" si="32"/>
        <v>0.17186758481638717</v>
      </c>
      <c r="AQ77" s="17">
        <f t="shared" ca="1" si="32"/>
        <v>0.17358626066455102</v>
      </c>
      <c r="AR77" s="17">
        <f t="shared" ca="1" si="32"/>
        <v>0.17532212327119651</v>
      </c>
      <c r="AS77" s="17">
        <f t="shared" ca="1" si="32"/>
        <v>0.35415068900781699</v>
      </c>
      <c r="AT77" s="17">
        <f t="shared" ca="1" si="32"/>
        <v>0.17884609794894757</v>
      </c>
    </row>
    <row r="78" spans="2:46" x14ac:dyDescent="0.35">
      <c r="B78" t="s">
        <v>47</v>
      </c>
      <c r="C78" t="s">
        <v>26</v>
      </c>
      <c r="H78" s="29"/>
      <c r="J78" s="30">
        <f ca="1">IF(J$1=DATE(2026,1,1),Предпосылки!C69,IF(MOD(MONTH(J18),Предпосылки!$C72)=Предпосылки!$C73,I78*Предпосылки!$C71+I78,I78))</f>
        <v>3</v>
      </c>
      <c r="K78" s="30">
        <f ca="1">IF(K$1=DATE(2026,1,1),Предпосылки!C71,IF(MOD(MONTH(K18),Предпосылки!$C72)=Предпосылки!$C73,J78*Предпосылки!$C71+J78,J78))</f>
        <v>3</v>
      </c>
      <c r="L78" s="30">
        <f ca="1">IF(L$1=DATE(2026,1,1),Предпосылки!C72,IF(MOD(MONTH(L18),Предпосылки!$C72)=Предпосылки!$C73,K78*Предпосылки!$C71+K78,K78))</f>
        <v>3</v>
      </c>
      <c r="M78" s="30">
        <f ca="1">IF(M$1=DATE(2026,1,1),Предпосылки!C73,IF(MOD(MONTH(M18),Предпосылки!$C72)=Предпосылки!$C73,L78*Предпосылки!$C71+L78,L78))</f>
        <v>3</v>
      </c>
      <c r="N78" s="30">
        <f ca="1">IF(N$1=DATE(2026,1,1),H78,IF(MOD(MONTH(N18),Предпосылки!$C72)=Предпосылки!$C73,M78*Предпосылки!$C71+M78,M78))</f>
        <v>3</v>
      </c>
      <c r="O78" s="30">
        <f ca="1">IF(O$1=DATE(2026,1,1),I78,IF(MOD(MONTH(O18),Предпосылки!$C72)=Предпосылки!$C73,N78*Предпосылки!$C71+N78,N78))</f>
        <v>3</v>
      </c>
      <c r="P78" s="30">
        <f ca="1">IF(P$1=DATE(2026,1,1),J78,IF(MOD(MONTH(P18),Предпосылки!$C72)=Предпосылки!$C73,O78*Предпосылки!$C71+O78,O78))</f>
        <v>3</v>
      </c>
      <c r="Q78" s="30">
        <f ca="1">IF(Q$1=DATE(2026,1,1),K78,IF(MOD(MONTH(Q18),Предпосылки!$C72)=Предпосылки!$C73,P78*Предпосылки!$C71+P78,P78))</f>
        <v>3</v>
      </c>
      <c r="R78" s="30">
        <f ca="1">IF(R$1=DATE(2026,1,1),L78,IF(MOD(MONTH(R18),Предпосылки!$C72)=Предпосылки!$C73,Q78*Предпосылки!$C71+Q78,Q78))</f>
        <v>3</v>
      </c>
      <c r="S78" s="30">
        <f ca="1">IF(S$1=DATE(2026,1,1),M78,IF(MOD(MONTH(S18),Предпосылки!$C72)=Предпосылки!$C73,R78*Предпосылки!$C71+R78,R78))</f>
        <v>3</v>
      </c>
      <c r="T78" s="30">
        <f ca="1">IF(T$1=DATE(2026,1,1),N78,IF(MOD(MONTH(T18),Предпосылки!$C72)=Предпосылки!$C73,S78*Предпосылки!$C71+S78,S78))</f>
        <v>3</v>
      </c>
      <c r="U78" s="30">
        <f ca="1">IF(U$1=DATE(2026,1,1),O78,IF(MOD(MONTH(U18),Предпосылки!$C72)=Предпосылки!$C73,T78*Предпосылки!$C71+T78,T78))</f>
        <v>3</v>
      </c>
      <c r="V78" s="30">
        <f ca="1">IF(V$1=DATE(2026,1,1),P78,IF(MOD(MONTH(V18),Предпосылки!$C72)=Предпосылки!$C73,U78*Предпосылки!$C71+U78,U78))</f>
        <v>3</v>
      </c>
      <c r="W78" s="30">
        <f ca="1">IF(W$1=DATE(2026,1,1),Q78,IF(MOD(MONTH(W18),Предпосылки!$C72)=Предпосылки!$C73,V78*Предпосылки!$C71+V78,V78))</f>
        <v>3</v>
      </c>
      <c r="X78" s="30">
        <f ca="1">IF(X$1=DATE(2026,1,1),R78,IF(MOD(MONTH(X18),Предпосылки!$C72)=Предпосылки!$C73,W78*Предпосылки!$C71+W78,W78))</f>
        <v>3</v>
      </c>
      <c r="Y78" s="30">
        <f ca="1">IF(Y$1=DATE(2026,1,1),S78,IF(MOD(MONTH(Y18),Предпосылки!$C72)=Предпосылки!$C73,X78*Предпосылки!$C71+X78,X78))</f>
        <v>3</v>
      </c>
      <c r="Z78" s="30">
        <f ca="1">IF(Z$1=DATE(2026,1,1),T78,IF(MOD(MONTH(Z18),Предпосылки!$C72)=Предпосылки!$C73,Y78*Предпосылки!$C71+Y78,Y78))</f>
        <v>3</v>
      </c>
      <c r="AA78" s="30">
        <f ca="1">IF(AA$1=DATE(2026,1,1),U78,IF(MOD(MONTH(AA18),Предпосылки!$C72)=Предпосылки!$C73,Z78*Предпосылки!$C71+Z78,Z78))</f>
        <v>3</v>
      </c>
      <c r="AB78" s="30">
        <f ca="1">IF(AB$1=DATE(2026,1,1),V78,IF(MOD(MONTH(AB18),Предпосылки!$C72)=Предпосылки!$C73,AA78*Предпосылки!$C71+AA78,AA78))</f>
        <v>3</v>
      </c>
      <c r="AC78" s="30">
        <f ca="1">IF(AC$1=DATE(2026,1,1),W78,IF(MOD(MONTH(AC18),Предпосылки!$C72)=Предпосылки!$C73,AB78*Предпосылки!$C71+AB78,AB78))</f>
        <v>3</v>
      </c>
      <c r="AD78" s="30">
        <f ca="1">IF(AD$1=DATE(2026,1,1),X78,IF(MOD(MONTH(AD18),Предпосылки!$C72)=Предпосылки!$C73,AC78*Предпосылки!$C71+AC78,AC78))</f>
        <v>3</v>
      </c>
      <c r="AE78" s="30">
        <f ca="1">IF(AE$1=DATE(2026,1,1),Y78,IF(MOD(MONTH(AE18),Предпосылки!$C72)=Предпосылки!$C73,AD78*Предпосылки!$C71+AD78,AD78))</f>
        <v>3</v>
      </c>
      <c r="AF78" s="30">
        <f ca="1">IF(AF$1=DATE(2026,1,1),Z78,IF(MOD(MONTH(AF18),Предпосылки!$C72)=Предпосылки!$C73,AE78*Предпосылки!$C71+AE78,AE78))</f>
        <v>3</v>
      </c>
      <c r="AG78" s="30">
        <f ca="1">IF(AG$1=DATE(2026,1,1),AA78,IF(MOD(MONTH(AG18),Предпосылки!$C72)=Предпосылки!$C73,AF78*Предпосылки!$C71+AF78,AF78))</f>
        <v>3</v>
      </c>
      <c r="AH78" s="30">
        <f ca="1">IF(AH$1=DATE(2026,1,1),AB78,IF(MOD(MONTH(AH18),Предпосылки!$C72)=Предпосылки!$C73,AG78*Предпосылки!$C71+AG78,AG78))</f>
        <v>3</v>
      </c>
      <c r="AI78" s="30">
        <f ca="1">IF(AI$1=DATE(2026,1,1),AC78,IF(MOD(MONTH(AI18),Предпосылки!$C72)=Предпосылки!$C73,AH78*Предпосылки!$C71+AH78,AH78))</f>
        <v>3</v>
      </c>
      <c r="AJ78" s="30">
        <f ca="1">IF(AJ$1=DATE(2026,1,1),AD78,IF(MOD(MONTH(AJ18),Предпосылки!$C72)=Предпосылки!$C73,AI78*Предпосылки!$C71+AI78,AI78))</f>
        <v>3</v>
      </c>
      <c r="AK78" s="30">
        <f ca="1">IF(AK$1=DATE(2026,1,1),AE78,IF(MOD(MONTH(AK18),Предпосылки!$C72)=Предпосылки!$C73,AJ78*Предпосылки!$C71+AJ78,AJ78))</f>
        <v>3</v>
      </c>
      <c r="AL78" s="30">
        <f ca="1">IF(AL$1=DATE(2026,1,1),AF78,IF(MOD(MONTH(AL18),Предпосылки!$C72)=Предпосылки!$C73,AK78*Предпосылки!$C71+AK78,AK78))</f>
        <v>3</v>
      </c>
      <c r="AM78" s="30">
        <f ca="1">IF(AM$1=DATE(2026,1,1),AG78,IF(MOD(MONTH(AM18),Предпосылки!$C72)=Предпосылки!$C73,AL78*Предпосылки!$C71+AL78,AL78))</f>
        <v>3</v>
      </c>
      <c r="AN78" s="30">
        <f ca="1">IF(AN$1=DATE(2026,1,1),AH78,IF(MOD(MONTH(AN18),Предпосылки!$C72)=Предпосылки!$C73,AM78*Предпосылки!$C71+AM78,AM78))</f>
        <v>3</v>
      </c>
      <c r="AO78" s="30">
        <f ca="1">IF(AO$1=DATE(2026,1,1),AI78,IF(MOD(MONTH(AO18),Предпосылки!$C72)=Предпосылки!$C73,AN78*Предпосылки!$C71+AN78,AN78))</f>
        <v>3</v>
      </c>
      <c r="AP78" s="30">
        <f ca="1">IF(AP$1=DATE(2026,1,1),AJ78,IF(MOD(MONTH(AP18),Предпосылки!$C72)=Предпосылки!$C73,AO78*Предпосылки!$C71+AO78,AO78))</f>
        <v>3</v>
      </c>
      <c r="AQ78" s="30">
        <f ca="1">IF(AQ$1=DATE(2026,1,1),AK78,IF(MOD(MONTH(AQ18),Предпосылки!$C72)=Предпосылки!$C73,AP78*Предпосылки!$C71+AP78,AP78))</f>
        <v>3</v>
      </c>
      <c r="AR78" s="30">
        <f ca="1">IF(AR$1=DATE(2026,1,1),AL78,IF(MOD(MONTH(AR18),Предпосылки!$C72)=Предпосылки!$C73,AQ78*Предпосылки!$C71+AQ78,AQ78))</f>
        <v>3</v>
      </c>
      <c r="AS78" s="30">
        <f ca="1">IF(AS$1=DATE(2026,1,1),AM78,IF(MOD(MONTH(AS18),Предпосылки!$C72)=Предпосылки!$C73,AR78*Предпосылки!$C71+AR78,AR78))</f>
        <v>3</v>
      </c>
      <c r="AT78" s="30">
        <f ca="1">IF(AT$1=DATE(2026,1,1),AN78,IF(MOD(MONTH(AT18),Предпосылки!$C72)=Предпосылки!$C73,AS78*Предпосылки!$C71+AS78,AS78))</f>
        <v>3</v>
      </c>
    </row>
    <row r="79" spans="2:46" x14ac:dyDescent="0.35">
      <c r="D79" s="29"/>
      <c r="E79" s="29"/>
      <c r="F79" s="29"/>
      <c r="G79" s="29"/>
      <c r="H79" s="29"/>
    </row>
    <row r="80" spans="2:46" x14ac:dyDescent="0.35">
      <c r="B80" t="s">
        <v>106</v>
      </c>
      <c r="C80" t="s">
        <v>26</v>
      </c>
      <c r="E80" s="4"/>
      <c r="F80" s="29"/>
      <c r="G80" s="29"/>
      <c r="H80" s="29"/>
      <c r="J80" s="30">
        <f ca="1">J78/(1+Предпосылки!$C$70)</f>
        <v>2.5</v>
      </c>
      <c r="K80" s="30">
        <f ca="1">K78/(1+Предпосылки!$C$70)</f>
        <v>2.5</v>
      </c>
      <c r="L80" s="30">
        <f ca="1">L78/(1+Предпосылки!$C$70)</f>
        <v>2.5</v>
      </c>
      <c r="M80" s="30">
        <f ca="1">M78/(1+Предпосылки!$C$70)</f>
        <v>2.5</v>
      </c>
      <c r="N80" s="30">
        <f ca="1">N78/(1+Предпосылки!$C$70)</f>
        <v>2.5</v>
      </c>
      <c r="O80" s="30">
        <f ca="1">O78/(1+Предпосылки!$C$70)</f>
        <v>2.5</v>
      </c>
      <c r="P80" s="30">
        <f ca="1">P78/(1+Предпосылки!$C$70)</f>
        <v>2.5</v>
      </c>
      <c r="Q80" s="30">
        <f ca="1">Q78/(1+Предпосылки!$C$70)</f>
        <v>2.5</v>
      </c>
      <c r="R80" s="30">
        <f ca="1">R78/(1+Предпосылки!$C$70)</f>
        <v>2.5</v>
      </c>
      <c r="S80" s="30">
        <f ca="1">S78/(1+Предпосылки!$C$70)</f>
        <v>2.5</v>
      </c>
      <c r="T80" s="30">
        <f ca="1">T78/(1+Предпосылки!$C$70)</f>
        <v>2.5</v>
      </c>
      <c r="U80" s="30">
        <f ca="1">U78/(1+Предпосылки!$C$70)</f>
        <v>2.5</v>
      </c>
      <c r="V80" s="30">
        <f ca="1">V78/(1+Предпосылки!$C$70)</f>
        <v>2.5</v>
      </c>
      <c r="W80" s="30">
        <f ca="1">W78/(1+Предпосылки!$C$70)</f>
        <v>2.5</v>
      </c>
      <c r="X80" s="30">
        <f ca="1">X78/(1+Предпосылки!$C$70)</f>
        <v>2.5</v>
      </c>
      <c r="Y80" s="30">
        <f ca="1">Y78/(1+Предпосылки!$C$70)</f>
        <v>2.5</v>
      </c>
      <c r="Z80" s="30">
        <f ca="1">Z78/(1+Предпосылки!$C$70)</f>
        <v>2.5</v>
      </c>
      <c r="AA80" s="30">
        <f ca="1">AA78/(1+Предпосылки!$C$70)</f>
        <v>2.5</v>
      </c>
      <c r="AB80" s="30">
        <f ca="1">AB78/(1+Предпосылки!$C$70)</f>
        <v>2.5</v>
      </c>
      <c r="AC80" s="30">
        <f ca="1">AC78/(1+Предпосылки!$C$70)</f>
        <v>2.5</v>
      </c>
      <c r="AD80" s="30">
        <f ca="1">AD78/(1+Предпосылки!$C$70)</f>
        <v>2.5</v>
      </c>
      <c r="AE80" s="30">
        <f ca="1">AE78/(1+Предпосылки!$C$70)</f>
        <v>2.5</v>
      </c>
      <c r="AF80" s="30">
        <f ca="1">AF78/(1+Предпосылки!$C$70)</f>
        <v>2.5</v>
      </c>
      <c r="AG80" s="30">
        <f ca="1">AG78/(1+Предпосылки!$C$70)</f>
        <v>2.5</v>
      </c>
      <c r="AH80" s="30">
        <f ca="1">AH78/(1+Предпосылки!$C$70)</f>
        <v>2.5</v>
      </c>
      <c r="AI80" s="30">
        <f ca="1">AI78/(1+Предпосылки!$C$70)</f>
        <v>2.5</v>
      </c>
      <c r="AJ80" s="30">
        <f ca="1">AJ78/(1+Предпосылки!$C$70)</f>
        <v>2.5</v>
      </c>
      <c r="AK80" s="30">
        <f ca="1">AK78/(1+Предпосылки!$C$70)</f>
        <v>2.5</v>
      </c>
      <c r="AL80" s="30">
        <f ca="1">AL78/(1+Предпосылки!$C$70)</f>
        <v>2.5</v>
      </c>
      <c r="AM80" s="30">
        <f ca="1">AM78/(1+Предпосылки!$C$70)</f>
        <v>2.5</v>
      </c>
      <c r="AN80" s="30">
        <f ca="1">AN78/(1+Предпосылки!$C$70)</f>
        <v>2.5</v>
      </c>
      <c r="AO80" s="30">
        <f ca="1">AO78/(1+Предпосылки!$C$70)</f>
        <v>2.5</v>
      </c>
      <c r="AP80" s="30">
        <f ca="1">AP78/(1+Предпосылки!$C$70)</f>
        <v>2.5</v>
      </c>
      <c r="AQ80" s="30">
        <f ca="1">AQ78/(1+Предпосылки!$C$70)</f>
        <v>2.5</v>
      </c>
      <c r="AR80" s="30">
        <f ca="1">AR78/(1+Предпосылки!$C$70)</f>
        <v>2.5</v>
      </c>
      <c r="AS80" s="30">
        <f ca="1">AS78/(1+Предпосылки!$C$70)</f>
        <v>2.5</v>
      </c>
      <c r="AT80" s="30">
        <f ca="1">AT78/(1+Предпосылки!$C$70)</f>
        <v>2.5</v>
      </c>
    </row>
    <row r="81" spans="2:46" x14ac:dyDescent="0.35">
      <c r="D81" s="29"/>
      <c r="E81" s="29"/>
      <c r="F81" s="29"/>
      <c r="G81" s="29"/>
      <c r="H81" s="29"/>
    </row>
    <row r="82" spans="2:46" x14ac:dyDescent="0.35">
      <c r="B82" t="s">
        <v>104</v>
      </c>
      <c r="C82" t="s">
        <v>42</v>
      </c>
      <c r="D82" s="29"/>
      <c r="E82" s="29"/>
      <c r="F82" s="29"/>
      <c r="G82" s="29"/>
      <c r="H82" s="29"/>
      <c r="J82" s="78">
        <f t="shared" ref="J82:AT82" ca="1" si="33">J43</f>
        <v>50</v>
      </c>
      <c r="K82" s="78">
        <f t="shared" ca="1" si="33"/>
        <v>50.5</v>
      </c>
      <c r="L82" s="78">
        <f t="shared" ca="1" si="33"/>
        <v>51.005000000000003</v>
      </c>
      <c r="M82" s="78">
        <f t="shared" ca="1" si="33"/>
        <v>51.515050000000002</v>
      </c>
      <c r="N82" s="78">
        <f t="shared" ca="1" si="33"/>
        <v>104.060401</v>
      </c>
      <c r="O82" s="78">
        <f t="shared" ca="1" si="33"/>
        <v>52.550502504999997</v>
      </c>
      <c r="P82" s="78">
        <f t="shared" ca="1" si="33"/>
        <v>53.076007530049999</v>
      </c>
      <c r="Q82" s="78">
        <f t="shared" ca="1" si="33"/>
        <v>80.41015140802574</v>
      </c>
      <c r="R82" s="78">
        <f t="shared" ca="1" si="33"/>
        <v>54.142835281404004</v>
      </c>
      <c r="S82" s="78">
        <f t="shared" ca="1" si="33"/>
        <v>54.684263634218041</v>
      </c>
      <c r="T82" s="78">
        <f t="shared" ca="1" si="33"/>
        <v>55.231106270560218</v>
      </c>
      <c r="U82" s="78">
        <f t="shared" ca="1" si="33"/>
        <v>111.56683466653165</v>
      </c>
      <c r="V82" s="78">
        <f t="shared" ca="1" si="33"/>
        <v>56.341251506598482</v>
      </c>
      <c r="W82" s="78">
        <f t="shared" ca="1" si="33"/>
        <v>56.904664021664466</v>
      </c>
      <c r="X82" s="78">
        <f t="shared" ca="1" si="33"/>
        <v>57.473710661881114</v>
      </c>
      <c r="Y82" s="78">
        <f t="shared" ca="1" si="33"/>
        <v>58.048447768499926</v>
      </c>
      <c r="Z82" s="78">
        <f t="shared" ca="1" si="33"/>
        <v>117.25786449236985</v>
      </c>
      <c r="AA82" s="78">
        <f t="shared" ca="1" si="33"/>
        <v>59.215221568646776</v>
      </c>
      <c r="AB82" s="78">
        <f t="shared" ca="1" si="33"/>
        <v>59.807373784333244</v>
      </c>
      <c r="AC82" s="78">
        <f t="shared" ca="1" si="33"/>
        <v>90.608171283264852</v>
      </c>
      <c r="AD82" s="78">
        <f t="shared" ca="1" si="33"/>
        <v>61.009501997398338</v>
      </c>
      <c r="AE82" s="78">
        <f t="shared" ca="1" si="33"/>
        <v>61.619597017372321</v>
      </c>
      <c r="AF82" s="78">
        <f t="shared" ca="1" si="33"/>
        <v>62.235792987546041</v>
      </c>
      <c r="AG82" s="78">
        <f t="shared" ca="1" si="33"/>
        <v>125.71630183484301</v>
      </c>
      <c r="AH82" s="78">
        <f t="shared" ca="1" si="33"/>
        <v>63.486732426595722</v>
      </c>
      <c r="AI82" s="78">
        <f t="shared" ca="1" si="33"/>
        <v>64.121599750861677</v>
      </c>
      <c r="AJ82" s="78">
        <f t="shared" ca="1" si="33"/>
        <v>64.762815748370286</v>
      </c>
      <c r="AK82" s="78">
        <f t="shared" ca="1" si="33"/>
        <v>65.410443905853995</v>
      </c>
      <c r="AL82" s="78">
        <f t="shared" ca="1" si="33"/>
        <v>132.12909668982508</v>
      </c>
      <c r="AM82" s="78">
        <f t="shared" ca="1" si="33"/>
        <v>66.725193828361668</v>
      </c>
      <c r="AN82" s="78">
        <f t="shared" ca="1" si="33"/>
        <v>67.392445766645281</v>
      </c>
      <c r="AO82" s="78">
        <f t="shared" ca="1" si="33"/>
        <v>102.0995553364676</v>
      </c>
      <c r="AP82" s="78">
        <f t="shared" ca="1" si="33"/>
        <v>68.747033926554863</v>
      </c>
      <c r="AQ82" s="78">
        <f t="shared" ca="1" si="33"/>
        <v>69.434504265820408</v>
      </c>
      <c r="AR82" s="78">
        <f t="shared" ca="1" si="33"/>
        <v>70.128849308478607</v>
      </c>
      <c r="AS82" s="78">
        <f t="shared" ca="1" si="33"/>
        <v>141.66027560312679</v>
      </c>
      <c r="AT82" s="78">
        <f t="shared" ca="1" si="33"/>
        <v>71.538439179579029</v>
      </c>
    </row>
    <row r="84" spans="2:46" x14ac:dyDescent="0.35">
      <c r="B84" t="s">
        <v>107</v>
      </c>
      <c r="J84" s="13">
        <f t="shared" ref="J84:AT84" ca="1" si="34">J78*J82/1000</f>
        <v>0.15</v>
      </c>
      <c r="K84" s="13">
        <f t="shared" ca="1" si="34"/>
        <v>0.1515</v>
      </c>
      <c r="L84" s="13">
        <f t="shared" ca="1" si="34"/>
        <v>0.15301500000000001</v>
      </c>
      <c r="M84" s="13">
        <f t="shared" ca="1" si="34"/>
        <v>0.15454515000000002</v>
      </c>
      <c r="N84" s="13">
        <f t="shared" ca="1" si="34"/>
        <v>0.31218120299999996</v>
      </c>
      <c r="O84" s="13">
        <f t="shared" ca="1" si="34"/>
        <v>0.15765150751499998</v>
      </c>
      <c r="P84" s="13">
        <f t="shared" ca="1" si="34"/>
        <v>0.15922802259015001</v>
      </c>
      <c r="Q84" s="13">
        <f t="shared" ca="1" si="34"/>
        <v>0.24123045422407721</v>
      </c>
      <c r="R84" s="13">
        <f t="shared" ca="1" si="34"/>
        <v>0.16242850584421201</v>
      </c>
      <c r="S84" s="13">
        <f t="shared" ca="1" si="34"/>
        <v>0.16405279090265412</v>
      </c>
      <c r="T84" s="13">
        <f t="shared" ca="1" si="34"/>
        <v>0.16569331881168065</v>
      </c>
      <c r="U84" s="13">
        <f t="shared" ca="1" si="34"/>
        <v>0.33470050399959494</v>
      </c>
      <c r="V84" s="13">
        <f t="shared" ca="1" si="34"/>
        <v>0.16902375451979543</v>
      </c>
      <c r="W84" s="13">
        <f t="shared" ca="1" si="34"/>
        <v>0.17071399206499338</v>
      </c>
      <c r="X84" s="13">
        <f t="shared" ca="1" si="34"/>
        <v>0.17242113198564335</v>
      </c>
      <c r="Y84" s="13">
        <f t="shared" ca="1" si="34"/>
        <v>0.17414534330549977</v>
      </c>
      <c r="Z84" s="13">
        <f t="shared" ca="1" si="34"/>
        <v>0.35177359347710957</v>
      </c>
      <c r="AA84" s="13">
        <f t="shared" ca="1" si="34"/>
        <v>0.17764566470594034</v>
      </c>
      <c r="AB84" s="13">
        <f t="shared" ca="1" si="34"/>
        <v>0.17942212135299973</v>
      </c>
      <c r="AC84" s="13">
        <f t="shared" ca="1" si="34"/>
        <v>0.27182451384979456</v>
      </c>
      <c r="AD84" s="13">
        <f t="shared" ca="1" si="34"/>
        <v>0.18302850599219503</v>
      </c>
      <c r="AE84" s="13">
        <f t="shared" ca="1" si="34"/>
        <v>0.18485879105211697</v>
      </c>
      <c r="AF84" s="13">
        <f t="shared" ca="1" si="34"/>
        <v>0.18670737896263814</v>
      </c>
      <c r="AG84" s="13">
        <f t="shared" ca="1" si="34"/>
        <v>0.37714890550452901</v>
      </c>
      <c r="AH84" s="13">
        <f t="shared" ca="1" si="34"/>
        <v>0.19046019727978716</v>
      </c>
      <c r="AI84" s="13">
        <f t="shared" ca="1" si="34"/>
        <v>0.19236479925258504</v>
      </c>
      <c r="AJ84" s="13">
        <f t="shared" ca="1" si="34"/>
        <v>0.19428844724511085</v>
      </c>
      <c r="AK84" s="13">
        <f t="shared" ca="1" si="34"/>
        <v>0.19623133171756199</v>
      </c>
      <c r="AL84" s="13">
        <f t="shared" ca="1" si="34"/>
        <v>0.39638729006947521</v>
      </c>
      <c r="AM84" s="13">
        <f t="shared" ca="1" si="34"/>
        <v>0.20017558148508499</v>
      </c>
      <c r="AN84" s="13">
        <f t="shared" ca="1" si="34"/>
        <v>0.20217733729993587</v>
      </c>
      <c r="AO84" s="13">
        <f t="shared" ca="1" si="34"/>
        <v>0.30629866600940281</v>
      </c>
      <c r="AP84" s="13">
        <f t="shared" ca="1" si="34"/>
        <v>0.20624110177966457</v>
      </c>
      <c r="AQ84" s="13">
        <f t="shared" ca="1" si="34"/>
        <v>0.20830351279746123</v>
      </c>
      <c r="AR84" s="13">
        <f t="shared" ca="1" si="34"/>
        <v>0.21038654792543582</v>
      </c>
      <c r="AS84" s="13">
        <f t="shared" ca="1" si="34"/>
        <v>0.42498082680938032</v>
      </c>
      <c r="AT84" s="13">
        <f t="shared" ca="1" si="34"/>
        <v>0.21461531753873708</v>
      </c>
    </row>
    <row r="86" spans="2:46" s="17" customFormat="1" x14ac:dyDescent="0.35">
      <c r="B86" s="18" t="s">
        <v>108</v>
      </c>
      <c r="C86" s="15" t="s">
        <v>14</v>
      </c>
      <c r="D86" s="16"/>
      <c r="E86" s="16"/>
      <c r="F86" s="16"/>
      <c r="G86" s="16"/>
      <c r="H86" s="16"/>
      <c r="J86" s="17">
        <f t="shared" ref="J86:AT86" ca="1" si="35">J80*J82/1000</f>
        <v>0.125</v>
      </c>
      <c r="K86" s="17">
        <f t="shared" ca="1" si="35"/>
        <v>0.12625</v>
      </c>
      <c r="L86" s="17">
        <f t="shared" ca="1" si="35"/>
        <v>0.1275125</v>
      </c>
      <c r="M86" s="17">
        <f t="shared" ca="1" si="35"/>
        <v>0.12878762499999999</v>
      </c>
      <c r="N86" s="17">
        <f t="shared" ca="1" si="35"/>
        <v>0.26015100250000001</v>
      </c>
      <c r="O86" s="17">
        <f t="shared" ca="1" si="35"/>
        <v>0.13137625626249999</v>
      </c>
      <c r="P86" s="17">
        <f t="shared" ca="1" si="35"/>
        <v>0.13269001882512502</v>
      </c>
      <c r="Q86" s="17">
        <f t="shared" ca="1" si="35"/>
        <v>0.20102537852006436</v>
      </c>
      <c r="R86" s="17">
        <f t="shared" ca="1" si="35"/>
        <v>0.13535708820351003</v>
      </c>
      <c r="S86" s="17">
        <f t="shared" ca="1" si="35"/>
        <v>0.13671065908554511</v>
      </c>
      <c r="T86" s="17">
        <f t="shared" ca="1" si="35"/>
        <v>0.13807776567640054</v>
      </c>
      <c r="U86" s="17">
        <f t="shared" ca="1" si="35"/>
        <v>0.27891708666632914</v>
      </c>
      <c r="V86" s="17">
        <f t="shared" ca="1" si="35"/>
        <v>0.14085312876649622</v>
      </c>
      <c r="W86" s="17">
        <f t="shared" ca="1" si="35"/>
        <v>0.14226166005416116</v>
      </c>
      <c r="X86" s="17">
        <f t="shared" ca="1" si="35"/>
        <v>0.14368427665470279</v>
      </c>
      <c r="Y86" s="17">
        <f t="shared" ca="1" si="35"/>
        <v>0.14512111942124983</v>
      </c>
      <c r="Z86" s="17">
        <f t="shared" ca="1" si="35"/>
        <v>0.29314466123092459</v>
      </c>
      <c r="AA86" s="17">
        <f t="shared" ca="1" si="35"/>
        <v>0.14803805392161695</v>
      </c>
      <c r="AB86" s="17">
        <f t="shared" ca="1" si="35"/>
        <v>0.1495184344608331</v>
      </c>
      <c r="AC86" s="17">
        <f t="shared" ca="1" si="35"/>
        <v>0.22652042820816212</v>
      </c>
      <c r="AD86" s="17">
        <f t="shared" ca="1" si="35"/>
        <v>0.15252375499349585</v>
      </c>
      <c r="AE86" s="17">
        <f t="shared" ca="1" si="35"/>
        <v>0.15404899254343082</v>
      </c>
      <c r="AF86" s="17">
        <f t="shared" ca="1" si="35"/>
        <v>0.15558948246886509</v>
      </c>
      <c r="AG86" s="17">
        <f t="shared" ca="1" si="35"/>
        <v>0.31429075458710753</v>
      </c>
      <c r="AH86" s="17">
        <f t="shared" ca="1" si="35"/>
        <v>0.15871683106648932</v>
      </c>
      <c r="AI86" s="17">
        <f t="shared" ca="1" si="35"/>
        <v>0.16030399937715417</v>
      </c>
      <c r="AJ86" s="17">
        <f t="shared" ca="1" si="35"/>
        <v>0.16190703937092571</v>
      </c>
      <c r="AK86" s="17">
        <f t="shared" ca="1" si="35"/>
        <v>0.16352610976463497</v>
      </c>
      <c r="AL86" s="17">
        <f t="shared" ca="1" si="35"/>
        <v>0.33032274172456266</v>
      </c>
      <c r="AM86" s="17">
        <f t="shared" ca="1" si="35"/>
        <v>0.16681298457090418</v>
      </c>
      <c r="AN86" s="17">
        <f t="shared" ca="1" si="35"/>
        <v>0.1684811144166132</v>
      </c>
      <c r="AO86" s="17">
        <f t="shared" ca="1" si="35"/>
        <v>0.25524888834116899</v>
      </c>
      <c r="AP86" s="17">
        <f t="shared" ca="1" si="35"/>
        <v>0.17186758481638717</v>
      </c>
      <c r="AQ86" s="17">
        <f t="shared" ca="1" si="35"/>
        <v>0.17358626066455102</v>
      </c>
      <c r="AR86" s="17">
        <f t="shared" ca="1" si="35"/>
        <v>0.17532212327119651</v>
      </c>
      <c r="AS86" s="17">
        <f t="shared" ca="1" si="35"/>
        <v>0.35415068900781699</v>
      </c>
      <c r="AT86" s="17">
        <f t="shared" ca="1" si="35"/>
        <v>0.17884609794894757</v>
      </c>
    </row>
    <row r="88" spans="2:46" s="1" customFormat="1" ht="15" customHeight="1" thickBot="1" x14ac:dyDescent="0.4">
      <c r="B88" s="1" t="s">
        <v>51</v>
      </c>
      <c r="D88" s="2"/>
      <c r="E88" s="2"/>
      <c r="F88" s="2"/>
      <c r="G88" s="2"/>
      <c r="H88" s="2"/>
    </row>
    <row r="89" spans="2:46" x14ac:dyDescent="0.35">
      <c r="B89" t="s">
        <v>109</v>
      </c>
      <c r="C89" t="s">
        <v>14</v>
      </c>
      <c r="H89" s="29"/>
      <c r="I89" s="29"/>
      <c r="J89" s="30">
        <f ca="1">IF(J$1=DATE(2026,1,1),Предпосылки!C78,IF(MOD(MONTH(J1),Предпосылки!$C81)=Предпосылки!$C82,I89*Предпосылки!$C80+I89,I89))</f>
        <v>10</v>
      </c>
      <c r="K89" s="30">
        <f ca="1">IF(K$1=DATE(2026,1,1),Предпосылки!C80,IF(MOD(MONTH(K1),Предпосылки!$C81)=Предпосылки!$C82,J89*Предпосылки!$C80+J89,J89))</f>
        <v>10</v>
      </c>
      <c r="L89" s="30">
        <f ca="1">IF(L$1=DATE(2026,1,1),Предпосылки!C81,IF(MOD(MONTH(L1),Предпосылки!$C81)=Предпосылки!$C82,K89*Предпосылки!$C80+K89,K89))</f>
        <v>10</v>
      </c>
      <c r="M89" s="30">
        <f ca="1">IF(M$1=DATE(2026,1,1),Предпосылки!C82,IF(MOD(MONTH(M1),Предпосылки!$C81)=Предпосылки!$C82,L89*Предпосылки!$C80+L89,L89))</f>
        <v>10</v>
      </c>
      <c r="N89" s="30">
        <f ca="1">IF(N$1=DATE(2026,1,1),H89,IF(MOD(MONTH(N1),Предпосылки!$C81)=Предпосылки!$C82,M89*Предпосылки!$C80+M89,M89))</f>
        <v>10</v>
      </c>
      <c r="O89" s="30">
        <f ca="1">IF(O$1=DATE(2026,1,1),I89,IF(MOD(MONTH(O1),Предпосылки!$C81)=Предпосылки!$C82,N89*Предпосылки!$C80+N89,N89))</f>
        <v>10</v>
      </c>
      <c r="P89" s="30">
        <f ca="1">IF(P$1=DATE(2026,1,1),J89,IF(MOD(MONTH(P1),Предпосылки!$C81)=Предпосылки!$C82,O89*Предпосылки!$C80+O89,O89))</f>
        <v>10</v>
      </c>
      <c r="Q89" s="30">
        <f ca="1">IF(Q$1=DATE(2026,1,1),K89,IF(MOD(MONTH(Q1),Предпосылки!$C81)=Предпосылки!$C82,P89*Предпосылки!$C80+P89,P89))</f>
        <v>10</v>
      </c>
      <c r="R89" s="30">
        <f ca="1">IF(R$1=DATE(2026,1,1),L89,IF(MOD(MONTH(R1),Предпосылки!$C81)=Предпосылки!$C82,Q89*Предпосылки!$C80+Q89,Q89))</f>
        <v>10</v>
      </c>
      <c r="S89" s="30">
        <f ca="1">IF(S$1=DATE(2026,1,1),M89,IF(MOD(MONTH(S1),Предпосылки!$C81)=Предпосылки!$C82,R89*Предпосылки!$C80+R89,R89))</f>
        <v>10</v>
      </c>
      <c r="T89" s="30">
        <f ca="1">IF(T$1=DATE(2026,1,1),N89,IF(MOD(MONTH(T1),Предпосылки!$C81)=Предпосылки!$C82,S89*Предпосылки!$C80+S89,S89))</f>
        <v>10</v>
      </c>
      <c r="U89" s="30">
        <f ca="1">IF(U$1=DATE(2026,1,1),O89,IF(MOD(MONTH(U1),Предпосылки!$C81)=Предпосылки!$C82,T89*Предпосылки!$C80+T89,T89))</f>
        <v>10</v>
      </c>
      <c r="V89" s="30">
        <f ca="1">IF(V$1=DATE(2026,1,1),P89,IF(MOD(MONTH(V1),Предпосылки!$C81)=Предпосылки!$C82,U89*Предпосылки!$C80+U89,U89))</f>
        <v>10.5</v>
      </c>
      <c r="W89" s="30">
        <f ca="1">IF(W$1=DATE(2026,1,1),Q89,IF(MOD(MONTH(W1),Предпосылки!$C81)=Предпосылки!$C82,V89*Предпосылки!$C80+V89,V89))</f>
        <v>10.5</v>
      </c>
      <c r="X89" s="30">
        <f ca="1">IF(X$1=DATE(2026,1,1),R89,IF(MOD(MONTH(X1),Предпосылки!$C81)=Предпосылки!$C82,W89*Предпосылки!$C80+W89,W89))</f>
        <v>10.5</v>
      </c>
      <c r="Y89" s="30">
        <f ca="1">IF(Y$1=DATE(2026,1,1),S89,IF(MOD(MONTH(Y1),Предпосылки!$C81)=Предпосылки!$C82,X89*Предпосылки!$C80+X89,X89))</f>
        <v>10.5</v>
      </c>
      <c r="Z89" s="30">
        <f ca="1">IF(Z$1=DATE(2026,1,1),T89,IF(MOD(MONTH(Z1),Предпосылки!$C81)=Предпосылки!$C82,Y89*Предпосылки!$C80+Y89,Y89))</f>
        <v>10.5</v>
      </c>
      <c r="AA89" s="30">
        <f ca="1">IF(AA$1=DATE(2026,1,1),U89,IF(MOD(MONTH(AA1),Предпосылки!$C81)=Предпосылки!$C82,Z89*Предпосылки!$C80+Z89,Z89))</f>
        <v>10.5</v>
      </c>
      <c r="AB89" s="30">
        <f ca="1">IF(AB$1=DATE(2026,1,1),V89,IF(MOD(MONTH(AB1),Предпосылки!$C81)=Предпосылки!$C82,AA89*Предпосылки!$C80+AA89,AA89))</f>
        <v>10.5</v>
      </c>
      <c r="AC89" s="30">
        <f ca="1">IF(AC$1=DATE(2026,1,1),W89,IF(MOD(MONTH(AC1),Предпосылки!$C81)=Предпосылки!$C82,AB89*Предпосылки!$C80+AB89,AB89))</f>
        <v>10.5</v>
      </c>
      <c r="AD89" s="30">
        <f ca="1">IF(AD$1=DATE(2026,1,1),X89,IF(MOD(MONTH(AD1),Предпосылки!$C81)=Предпосылки!$C82,AC89*Предпосылки!$C80+AC89,AC89))</f>
        <v>10.5</v>
      </c>
      <c r="AE89" s="30">
        <f ca="1">IF(AE$1=DATE(2026,1,1),Y89,IF(MOD(MONTH(AE1),Предпосылки!$C81)=Предпосылки!$C82,AD89*Предпосылки!$C80+AD89,AD89))</f>
        <v>10.5</v>
      </c>
      <c r="AF89" s="30">
        <f ca="1">IF(AF$1=DATE(2026,1,1),Z89,IF(MOD(MONTH(AF1),Предпосылки!$C81)=Предпосылки!$C82,AE89*Предпосылки!$C80+AE89,AE89))</f>
        <v>10.5</v>
      </c>
      <c r="AG89" s="30">
        <f ca="1">IF(AG$1=DATE(2026,1,1),AA89,IF(MOD(MONTH(AG1),Предпосылки!$C81)=Предпосылки!$C82,AF89*Предпосылки!$C80+AF89,AF89))</f>
        <v>10.5</v>
      </c>
      <c r="AH89" s="30">
        <f ca="1">IF(AH$1=DATE(2026,1,1),AB89,IF(MOD(MONTH(AH1),Предпосылки!$C81)=Предпосылки!$C82,AG89*Предпосылки!$C80+AG89,AG89))</f>
        <v>11.025</v>
      </c>
      <c r="AI89" s="30">
        <f ca="1">IF(AI$1=DATE(2026,1,1),AC89,IF(MOD(MONTH(AI1),Предпосылки!$C81)=Предпосылки!$C82,AH89*Предпосылки!$C80+AH89,AH89))</f>
        <v>11.025</v>
      </c>
      <c r="AJ89" s="30">
        <f ca="1">IF(AJ$1=DATE(2026,1,1),AD89,IF(MOD(MONTH(AJ1),Предпосылки!$C81)=Предпосылки!$C82,AI89*Предпосылки!$C80+AI89,AI89))</f>
        <v>11.025</v>
      </c>
      <c r="AK89" s="30">
        <f ca="1">IF(AK$1=DATE(2026,1,1),AE89,IF(MOD(MONTH(AK1),Предпосылки!$C81)=Предпосылки!$C82,AJ89*Предпосылки!$C80+AJ89,AJ89))</f>
        <v>11.025</v>
      </c>
      <c r="AL89" s="30">
        <f ca="1">IF(AL$1=DATE(2026,1,1),AF89,IF(MOD(MONTH(AL1),Предпосылки!$C81)=Предпосылки!$C82,AK89*Предпосылки!$C80+AK89,AK89))</f>
        <v>11.025</v>
      </c>
      <c r="AM89" s="30">
        <f ca="1">IF(AM$1=DATE(2026,1,1),AG89,IF(MOD(MONTH(AM1),Предпосылки!$C81)=Предпосылки!$C82,AL89*Предпосылки!$C80+AL89,AL89))</f>
        <v>11.025</v>
      </c>
      <c r="AN89" s="30">
        <f ca="1">IF(AN$1=DATE(2026,1,1),AH89,IF(MOD(MONTH(AN1),Предпосылки!$C81)=Предпосылки!$C82,AM89*Предпосылки!$C80+AM89,AM89))</f>
        <v>11.025</v>
      </c>
      <c r="AO89" s="30">
        <f ca="1">IF(AO$1=DATE(2026,1,1),AI89,IF(MOD(MONTH(AO1),Предпосылки!$C81)=Предпосылки!$C82,AN89*Предпосылки!$C80+AN89,AN89))</f>
        <v>11.025</v>
      </c>
      <c r="AP89" s="30">
        <f ca="1">IF(AP$1=DATE(2026,1,1),AJ89,IF(MOD(MONTH(AP1),Предпосылки!$C81)=Предпосылки!$C82,AO89*Предпосылки!$C80+AO89,AO89))</f>
        <v>11.025</v>
      </c>
      <c r="AQ89" s="30">
        <f ca="1">IF(AQ$1=DATE(2026,1,1),AK89,IF(MOD(MONTH(AQ1),Предпосылки!$C81)=Предпосылки!$C82,AP89*Предпосылки!$C80+AP89,AP89))</f>
        <v>11.025</v>
      </c>
      <c r="AR89" s="30">
        <f ca="1">IF(AR$1=DATE(2026,1,1),AL89,IF(MOD(MONTH(AR1),Предпосылки!$C81)=Предпосылки!$C82,AQ89*Предпосылки!$C80+AQ89,AQ89))</f>
        <v>11.025</v>
      </c>
      <c r="AS89" s="30">
        <f ca="1">IF(AS$1=DATE(2026,1,1),AM89,IF(MOD(MONTH(AS1),Предпосылки!$C81)=Предпосылки!$C82,AR89*Предпосылки!$C80+AR89,AR89))</f>
        <v>11.025</v>
      </c>
      <c r="AT89" s="30">
        <f ca="1">IF(AT$1=DATE(2026,1,1),AN89,IF(MOD(MONTH(AT1),Предпосылки!$C81)=Предпосылки!$C82,AS89*Предпосылки!$C80+AS89,AS89))</f>
        <v>11.57625</v>
      </c>
    </row>
    <row r="90" spans="2:46" x14ac:dyDescent="0.35">
      <c r="D90" s="29"/>
      <c r="E90" s="29"/>
      <c r="F90" s="29"/>
      <c r="G90" s="29"/>
      <c r="H90" s="29"/>
    </row>
    <row r="91" spans="2:46" x14ac:dyDescent="0.35">
      <c r="B91" t="s">
        <v>110</v>
      </c>
      <c r="C91" t="s">
        <v>14</v>
      </c>
      <c r="E91" s="31"/>
      <c r="F91" s="29"/>
      <c r="G91" s="29"/>
      <c r="H91" s="29"/>
      <c r="I91" s="29"/>
      <c r="J91" s="30">
        <f ca="1">J89/(1+Предпосылки!$C$79)</f>
        <v>8.3333333333333339</v>
      </c>
      <c r="K91" s="30">
        <f ca="1">K89/(1+Предпосылки!$C$79)</f>
        <v>8.3333333333333339</v>
      </c>
      <c r="L91" s="30">
        <f ca="1">L89/(1+Предпосылки!$C$79)</f>
        <v>8.3333333333333339</v>
      </c>
      <c r="M91" s="30">
        <f ca="1">M89/(1+Предпосылки!$C$79)</f>
        <v>8.3333333333333339</v>
      </c>
      <c r="N91" s="30">
        <f ca="1">N89/(1+Предпосылки!$C$79)</f>
        <v>8.3333333333333339</v>
      </c>
      <c r="O91" s="30">
        <f ca="1">O89/(1+Предпосылки!$C$79)</f>
        <v>8.3333333333333339</v>
      </c>
      <c r="P91" s="30">
        <f ca="1">P89/(1+Предпосылки!$C$79)</f>
        <v>8.3333333333333339</v>
      </c>
      <c r="Q91" s="30">
        <f ca="1">Q89/(1+Предпосылки!$C$79)</f>
        <v>8.3333333333333339</v>
      </c>
      <c r="R91" s="30">
        <f ca="1">R89/(1+Предпосылки!$C$79)</f>
        <v>8.3333333333333339</v>
      </c>
      <c r="S91" s="30">
        <f ca="1">S89/(1+Предпосылки!$C$79)</f>
        <v>8.3333333333333339</v>
      </c>
      <c r="T91" s="30">
        <f ca="1">T89/(1+Предпосылки!$C$79)</f>
        <v>8.3333333333333339</v>
      </c>
      <c r="U91" s="30">
        <f ca="1">U89/(1+Предпосылки!$C$79)</f>
        <v>8.3333333333333339</v>
      </c>
      <c r="V91" s="30">
        <f ca="1">V89/(1+Предпосылки!$C$79)</f>
        <v>8.75</v>
      </c>
      <c r="W91" s="30">
        <f ca="1">W89/(1+Предпосылки!$C$79)</f>
        <v>8.75</v>
      </c>
      <c r="X91" s="30">
        <f ca="1">X89/(1+Предпосылки!$C$79)</f>
        <v>8.75</v>
      </c>
      <c r="Y91" s="30">
        <f ca="1">Y89/(1+Предпосылки!$C$79)</f>
        <v>8.75</v>
      </c>
      <c r="Z91" s="30">
        <f ca="1">Z89/(1+Предпосылки!$C$79)</f>
        <v>8.75</v>
      </c>
      <c r="AA91" s="30">
        <f ca="1">AA89/(1+Предпосылки!$C$79)</f>
        <v>8.75</v>
      </c>
      <c r="AB91" s="30">
        <f ca="1">AB89/(1+Предпосылки!$C$79)</f>
        <v>8.75</v>
      </c>
      <c r="AC91" s="30">
        <f ca="1">AC89/(1+Предпосылки!$C$79)</f>
        <v>8.75</v>
      </c>
      <c r="AD91" s="30">
        <f ca="1">AD89/(1+Предпосылки!$C$79)</f>
        <v>8.75</v>
      </c>
      <c r="AE91" s="30">
        <f ca="1">AE89/(1+Предпосылки!$C$79)</f>
        <v>8.75</v>
      </c>
      <c r="AF91" s="30">
        <f ca="1">AF89/(1+Предпосылки!$C$79)</f>
        <v>8.75</v>
      </c>
      <c r="AG91" s="30">
        <f ca="1">AG89/(1+Предпосылки!$C$79)</f>
        <v>8.75</v>
      </c>
      <c r="AH91" s="30">
        <f ca="1">AH89/(1+Предпосылки!$C$79)</f>
        <v>9.1875</v>
      </c>
      <c r="AI91" s="30">
        <f ca="1">AI89/(1+Предпосылки!$C$79)</f>
        <v>9.1875</v>
      </c>
      <c r="AJ91" s="30">
        <f ca="1">AJ89/(1+Предпосылки!$C$79)</f>
        <v>9.1875</v>
      </c>
      <c r="AK91" s="30">
        <f ca="1">AK89/(1+Предпосылки!$C$79)</f>
        <v>9.1875</v>
      </c>
      <c r="AL91" s="30">
        <f ca="1">AL89/(1+Предпосылки!$C$79)</f>
        <v>9.1875</v>
      </c>
      <c r="AM91" s="30">
        <f ca="1">AM89/(1+Предпосылки!$C$79)</f>
        <v>9.1875</v>
      </c>
      <c r="AN91" s="30">
        <f ca="1">AN89/(1+Предпосылки!$C$79)</f>
        <v>9.1875</v>
      </c>
      <c r="AO91" s="30">
        <f ca="1">AO89/(1+Предпосылки!$C$79)</f>
        <v>9.1875</v>
      </c>
      <c r="AP91" s="30">
        <f ca="1">AP89/(1+Предпосылки!$C$79)</f>
        <v>9.1875</v>
      </c>
      <c r="AQ91" s="30">
        <f ca="1">AQ89/(1+Предпосылки!$C$79)</f>
        <v>9.1875</v>
      </c>
      <c r="AR91" s="30">
        <f ca="1">AR89/(1+Предпосылки!$C$79)</f>
        <v>9.1875</v>
      </c>
      <c r="AS91" s="30">
        <f ca="1">AS89/(1+Предпосылки!$C$79)</f>
        <v>9.1875</v>
      </c>
      <c r="AT91" s="30">
        <f ca="1">AT89/(1+Предпосылки!$C$79)</f>
        <v>9.6468749999999996</v>
      </c>
    </row>
    <row r="92" spans="2:46" x14ac:dyDescent="0.35">
      <c r="D92" s="29"/>
      <c r="E92" s="29"/>
      <c r="F92" s="29"/>
      <c r="G92" s="29"/>
      <c r="H92" s="29"/>
    </row>
    <row r="93" spans="2:46" x14ac:dyDescent="0.35">
      <c r="B93" t="s">
        <v>111</v>
      </c>
      <c r="C93" t="s">
        <v>14</v>
      </c>
      <c r="H93" s="29"/>
      <c r="J93" s="30">
        <f ca="1">IF(J$1=DATE(2026,1,1),Предпосылки!C84,IF(MOD(MONTH(J$1),Предпосылки!$C87)=Предпосылки!$C88,I93*Предпосылки!$C86+I93,I93))</f>
        <v>5</v>
      </c>
      <c r="K93" s="30">
        <f ca="1">IF(K$1=DATE(2026,1,1),Предпосылки!C86,IF(MOD(MONTH(K$1),Предпосылки!$C87)=Предпосылки!$C88,J93*Предпосылки!$C86+J93,J93))</f>
        <v>5</v>
      </c>
      <c r="L93" s="30">
        <f ca="1">IF(L$1=DATE(2026,1,1),Предпосылки!C87,IF(MOD(MONTH(L$1),Предпосылки!$C87)=Предпосылки!$C88,K93*Предпосылки!$C86+K93,K93))</f>
        <v>5</v>
      </c>
      <c r="M93" s="30">
        <f ca="1">IF(M$1=DATE(2026,1,1),Предпосылки!C88,IF(MOD(MONTH(M$1),Предпосылки!$C87)=Предпосылки!$C88,L93*Предпосылки!$C86+L93,L93))</f>
        <v>5</v>
      </c>
      <c r="N93" s="30">
        <f ca="1">IF(N$1=DATE(2026,1,1),H93,IF(MOD(MONTH(N$1),Предпосылки!$C87)=Предпосылки!$C88,M93*Предпосылки!$C86+M93,M93))</f>
        <v>5</v>
      </c>
      <c r="O93" s="30">
        <f ca="1">IF(O$1=DATE(2026,1,1),I93,IF(MOD(MONTH(O$1),Предпосылки!$C87)=Предпосылки!$C88,N93*Предпосылки!$C86+N93,N93))</f>
        <v>5</v>
      </c>
      <c r="P93" s="30">
        <f ca="1">IF(P$1=DATE(2026,1,1),J93,IF(MOD(MONTH(P$1),Предпосылки!$C87)=Предпосылки!$C88,O93*Предпосылки!$C86+O93,O93))</f>
        <v>5</v>
      </c>
      <c r="Q93" s="30">
        <f ca="1">IF(Q$1=DATE(2026,1,1),K93,IF(MOD(MONTH(Q$1),Предпосылки!$C87)=Предпосылки!$C88,P93*Предпосылки!$C86+P93,P93))</f>
        <v>5</v>
      </c>
      <c r="R93" s="30">
        <f ca="1">IF(R$1=DATE(2026,1,1),L93,IF(MOD(MONTH(R$1),Предпосылки!$C87)=Предпосылки!$C88,Q93*Предпосылки!$C86+Q93,Q93))</f>
        <v>5</v>
      </c>
      <c r="S93" s="30">
        <f ca="1">IF(S$1=DATE(2026,1,1),M93,IF(MOD(MONTH(S$1),Предпосылки!$C87)=Предпосылки!$C88,R93*Предпосылки!$C86+R93,R93))</f>
        <v>5</v>
      </c>
      <c r="T93" s="30">
        <f ca="1">IF(T$1=DATE(2026,1,1),N93,IF(MOD(MONTH(T$1),Предпосылки!$C87)=Предпосылки!$C88,S93*Предпосылки!$C86+S93,S93))</f>
        <v>5</v>
      </c>
      <c r="U93" s="30">
        <f ca="1">IF(U$1=DATE(2026,1,1),O93,IF(MOD(MONTH(U$1),Предпосылки!$C87)=Предпосылки!$C88,T93*Предпосылки!$C86+T93,T93))</f>
        <v>5</v>
      </c>
      <c r="V93" s="30">
        <f ca="1">IF(V$1=DATE(2026,1,1),P93,IF(MOD(MONTH(V$1),Предпосылки!$C87)=Предпосылки!$C88,U93*Предпосылки!$C86+U93,U93))</f>
        <v>5.25</v>
      </c>
      <c r="W93" s="30">
        <f ca="1">IF(W$1=DATE(2026,1,1),Q93,IF(MOD(MONTH(W$1),Предпосылки!$C87)=Предпосылки!$C88,V93*Предпосылки!$C86+V93,V93))</f>
        <v>5.25</v>
      </c>
      <c r="X93" s="30">
        <f ca="1">IF(X$1=DATE(2026,1,1),R93,IF(MOD(MONTH(X$1),Предпосылки!$C87)=Предпосылки!$C88,W93*Предпосылки!$C86+W93,W93))</f>
        <v>5.25</v>
      </c>
      <c r="Y93" s="30">
        <f ca="1">IF(Y$1=DATE(2026,1,1),S93,IF(MOD(MONTH(Y$1),Предпосылки!$C87)=Предпосылки!$C88,X93*Предпосылки!$C86+X93,X93))</f>
        <v>5.25</v>
      </c>
      <c r="Z93" s="30">
        <f ca="1">IF(Z$1=DATE(2026,1,1),T93,IF(MOD(MONTH(Z$1),Предпосылки!$C87)=Предпосылки!$C88,Y93*Предпосылки!$C86+Y93,Y93))</f>
        <v>5.25</v>
      </c>
      <c r="AA93" s="30">
        <f ca="1">IF(AA$1=DATE(2026,1,1),U93,IF(MOD(MONTH(AA$1),Предпосылки!$C87)=Предпосылки!$C88,Z93*Предпосылки!$C86+Z93,Z93))</f>
        <v>5.25</v>
      </c>
      <c r="AB93" s="30">
        <f ca="1">IF(AB$1=DATE(2026,1,1),V93,IF(MOD(MONTH(AB$1),Предпосылки!$C87)=Предпосылки!$C88,AA93*Предпосылки!$C86+AA93,AA93))</f>
        <v>5.25</v>
      </c>
      <c r="AC93" s="30">
        <f ca="1">IF(AC$1=DATE(2026,1,1),W93,IF(MOD(MONTH(AC$1),Предпосылки!$C87)=Предпосылки!$C88,AB93*Предпосылки!$C86+AB93,AB93))</f>
        <v>5.25</v>
      </c>
      <c r="AD93" s="30">
        <f ca="1">IF(AD$1=DATE(2026,1,1),X93,IF(MOD(MONTH(AD$1),Предпосылки!$C87)=Предпосылки!$C88,AC93*Предпосылки!$C86+AC93,AC93))</f>
        <v>5.25</v>
      </c>
      <c r="AE93" s="30">
        <f ca="1">IF(AE$1=DATE(2026,1,1),Y93,IF(MOD(MONTH(AE$1),Предпосылки!$C87)=Предпосылки!$C88,AD93*Предпосылки!$C86+AD93,AD93))</f>
        <v>5.25</v>
      </c>
      <c r="AF93" s="30">
        <f ca="1">IF(AF$1=DATE(2026,1,1),Z93,IF(MOD(MONTH(AF$1),Предпосылки!$C87)=Предпосылки!$C88,AE93*Предпосылки!$C86+AE93,AE93))</f>
        <v>5.25</v>
      </c>
      <c r="AG93" s="30">
        <f ca="1">IF(AG$1=DATE(2026,1,1),AA93,IF(MOD(MONTH(AG$1),Предпосылки!$C87)=Предпосылки!$C88,AF93*Предпосылки!$C86+AF93,AF93))</f>
        <v>5.25</v>
      </c>
      <c r="AH93" s="30">
        <f ca="1">IF(AH$1=DATE(2026,1,1),AB93,IF(MOD(MONTH(AH$1),Предпосылки!$C87)=Предпосылки!$C88,AG93*Предпосылки!$C86+AG93,AG93))</f>
        <v>5.5125000000000002</v>
      </c>
      <c r="AI93" s="30">
        <f ca="1">IF(AI$1=DATE(2026,1,1),AC93,IF(MOD(MONTH(AI$1),Предпосылки!$C87)=Предпосылки!$C88,AH93*Предпосылки!$C86+AH93,AH93))</f>
        <v>5.5125000000000002</v>
      </c>
      <c r="AJ93" s="30">
        <f ca="1">IF(AJ$1=DATE(2026,1,1),AD93,IF(MOD(MONTH(AJ$1),Предпосылки!$C87)=Предпосылки!$C88,AI93*Предпосылки!$C86+AI93,AI93))</f>
        <v>5.5125000000000002</v>
      </c>
      <c r="AK93" s="30">
        <f ca="1">IF(AK$1=DATE(2026,1,1),AE93,IF(MOD(MONTH(AK$1),Предпосылки!$C87)=Предпосылки!$C88,AJ93*Предпосылки!$C86+AJ93,AJ93))</f>
        <v>5.5125000000000002</v>
      </c>
      <c r="AL93" s="30">
        <f ca="1">IF(AL$1=DATE(2026,1,1),AF93,IF(MOD(MONTH(AL$1),Предпосылки!$C87)=Предпосылки!$C88,AK93*Предпосылки!$C86+AK93,AK93))</f>
        <v>5.5125000000000002</v>
      </c>
      <c r="AM93" s="30">
        <f ca="1">IF(AM$1=DATE(2026,1,1),AG93,IF(MOD(MONTH(AM$1),Предпосылки!$C87)=Предпосылки!$C88,AL93*Предпосылки!$C86+AL93,AL93))</f>
        <v>5.5125000000000002</v>
      </c>
      <c r="AN93" s="30">
        <f ca="1">IF(AN$1=DATE(2026,1,1),AH93,IF(MOD(MONTH(AN$1),Предпосылки!$C87)=Предпосылки!$C88,AM93*Предпосылки!$C86+AM93,AM93))</f>
        <v>5.5125000000000002</v>
      </c>
      <c r="AO93" s="30">
        <f ca="1">IF(AO$1=DATE(2026,1,1),AI93,IF(MOD(MONTH(AO$1),Предпосылки!$C87)=Предпосылки!$C88,AN93*Предпосылки!$C86+AN93,AN93))</f>
        <v>5.5125000000000002</v>
      </c>
      <c r="AP93" s="30">
        <f ca="1">IF(AP$1=DATE(2026,1,1),AJ93,IF(MOD(MONTH(AP$1),Предпосылки!$C87)=Предпосылки!$C88,AO93*Предпосылки!$C86+AO93,AO93))</f>
        <v>5.5125000000000002</v>
      </c>
      <c r="AQ93" s="30">
        <f ca="1">IF(AQ$1=DATE(2026,1,1),AK93,IF(MOD(MONTH(AQ$1),Предпосылки!$C87)=Предпосылки!$C88,AP93*Предпосылки!$C86+AP93,AP93))</f>
        <v>5.5125000000000002</v>
      </c>
      <c r="AR93" s="30">
        <f ca="1">IF(AR$1=DATE(2026,1,1),AL93,IF(MOD(MONTH(AR$1),Предпосылки!$C87)=Предпосылки!$C88,AQ93*Предпосылки!$C86+AQ93,AQ93))</f>
        <v>5.5125000000000002</v>
      </c>
      <c r="AS93" s="30">
        <f ca="1">IF(AS$1=DATE(2026,1,1),AM93,IF(MOD(MONTH(AS$1),Предпосылки!$C87)=Предпосылки!$C88,AR93*Предпосылки!$C86+AR93,AR93))</f>
        <v>5.5125000000000002</v>
      </c>
      <c r="AT93" s="30">
        <f ca="1">IF(AT$1=DATE(2026,1,1),AN93,IF(MOD(MONTH(AT$1),Предпосылки!$C87)=Предпосылки!$C88,AS93*Предпосылки!$C86+AS93,AS93))</f>
        <v>5.788125</v>
      </c>
    </row>
    <row r="94" spans="2:46" x14ac:dyDescent="0.35">
      <c r="D94" s="29"/>
      <c r="E94" s="4"/>
      <c r="F94" s="29"/>
      <c r="G94" s="29"/>
      <c r="H94" s="29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</row>
    <row r="95" spans="2:46" x14ac:dyDescent="0.35">
      <c r="B95" t="s">
        <v>112</v>
      </c>
      <c r="C95" t="s">
        <v>14</v>
      </c>
      <c r="E95" s="31"/>
      <c r="F95" s="29"/>
      <c r="G95" s="29"/>
      <c r="H95" s="29"/>
      <c r="J95" s="30">
        <f ca="1">J93/(1+Предпосылки!$C$85)</f>
        <v>4.166666666666667</v>
      </c>
      <c r="K95" s="30">
        <f ca="1">K93/(1+Предпосылки!$C$85)</f>
        <v>4.166666666666667</v>
      </c>
      <c r="L95" s="30">
        <f ca="1">L93/(1+Предпосылки!$C$85)</f>
        <v>4.166666666666667</v>
      </c>
      <c r="M95" s="30">
        <f ca="1">M93/(1+Предпосылки!$C$85)</f>
        <v>4.166666666666667</v>
      </c>
      <c r="N95" s="30">
        <f ca="1">N93/(1+Предпосылки!$C$85)</f>
        <v>4.166666666666667</v>
      </c>
      <c r="O95" s="30">
        <f ca="1">O93/(1+Предпосылки!$C$85)</f>
        <v>4.166666666666667</v>
      </c>
      <c r="P95" s="30">
        <f ca="1">P93/(1+Предпосылки!$C$85)</f>
        <v>4.166666666666667</v>
      </c>
      <c r="Q95" s="30">
        <f ca="1">Q93/(1+Предпосылки!$C$85)</f>
        <v>4.166666666666667</v>
      </c>
      <c r="R95" s="30">
        <f ca="1">R93/(1+Предпосылки!$C$85)</f>
        <v>4.166666666666667</v>
      </c>
      <c r="S95" s="30">
        <f ca="1">S93/(1+Предпосылки!$C$85)</f>
        <v>4.166666666666667</v>
      </c>
      <c r="T95" s="30">
        <f ca="1">T93/(1+Предпосылки!$C$85)</f>
        <v>4.166666666666667</v>
      </c>
      <c r="U95" s="30">
        <f ca="1">U93/(1+Предпосылки!$C$85)</f>
        <v>4.166666666666667</v>
      </c>
      <c r="V95" s="30">
        <f ca="1">V93/(1+Предпосылки!$C$85)</f>
        <v>4.375</v>
      </c>
      <c r="W95" s="30">
        <f ca="1">W93/(1+Предпосылки!$C$85)</f>
        <v>4.375</v>
      </c>
      <c r="X95" s="30">
        <f ca="1">X93/(1+Предпосылки!$C$85)</f>
        <v>4.375</v>
      </c>
      <c r="Y95" s="30">
        <f ca="1">Y93/(1+Предпосылки!$C$85)</f>
        <v>4.375</v>
      </c>
      <c r="Z95" s="30">
        <f ca="1">Z93/(1+Предпосылки!$C$85)</f>
        <v>4.375</v>
      </c>
      <c r="AA95" s="30">
        <f ca="1">AA93/(1+Предпосылки!$C$85)</f>
        <v>4.375</v>
      </c>
      <c r="AB95" s="30">
        <f ca="1">AB93/(1+Предпосылки!$C$85)</f>
        <v>4.375</v>
      </c>
      <c r="AC95" s="30">
        <f ca="1">AC93/(1+Предпосылки!$C$85)</f>
        <v>4.375</v>
      </c>
      <c r="AD95" s="30">
        <f ca="1">AD93/(1+Предпосылки!$C$85)</f>
        <v>4.375</v>
      </c>
      <c r="AE95" s="30">
        <f ca="1">AE93/(1+Предпосылки!$C$85)</f>
        <v>4.375</v>
      </c>
      <c r="AF95" s="30">
        <f ca="1">AF93/(1+Предпосылки!$C$85)</f>
        <v>4.375</v>
      </c>
      <c r="AG95" s="30">
        <f ca="1">AG93/(1+Предпосылки!$C$85)</f>
        <v>4.375</v>
      </c>
      <c r="AH95" s="30">
        <f ca="1">AH93/(1+Предпосылки!$C$85)</f>
        <v>4.59375</v>
      </c>
      <c r="AI95" s="30">
        <f ca="1">AI93/(1+Предпосылки!$C$85)</f>
        <v>4.59375</v>
      </c>
      <c r="AJ95" s="30">
        <f ca="1">AJ93/(1+Предпосылки!$C$85)</f>
        <v>4.59375</v>
      </c>
      <c r="AK95" s="30">
        <f ca="1">AK93/(1+Предпосылки!$C$85)</f>
        <v>4.59375</v>
      </c>
      <c r="AL95" s="30">
        <f ca="1">AL93/(1+Предпосылки!$C$85)</f>
        <v>4.59375</v>
      </c>
      <c r="AM95" s="30">
        <f ca="1">AM93/(1+Предпосылки!$C$85)</f>
        <v>4.59375</v>
      </c>
      <c r="AN95" s="30">
        <f ca="1">AN93/(1+Предпосылки!$C$85)</f>
        <v>4.59375</v>
      </c>
      <c r="AO95" s="30">
        <f ca="1">AO93/(1+Предпосылки!$C$85)</f>
        <v>4.59375</v>
      </c>
      <c r="AP95" s="30">
        <f ca="1">AP93/(1+Предпосылки!$C$85)</f>
        <v>4.59375</v>
      </c>
      <c r="AQ95" s="30">
        <f ca="1">AQ93/(1+Предпосылки!$C$85)</f>
        <v>4.59375</v>
      </c>
      <c r="AR95" s="30">
        <f ca="1">AR93/(1+Предпосылки!$C$85)</f>
        <v>4.59375</v>
      </c>
      <c r="AS95" s="30">
        <f ca="1">AS93/(1+Предпосылки!$C$85)</f>
        <v>4.59375</v>
      </c>
      <c r="AT95" s="30">
        <f ca="1">AT93/(1+Предпосылки!$C$85)</f>
        <v>4.8234374999999998</v>
      </c>
    </row>
    <row r="96" spans="2:46" x14ac:dyDescent="0.35">
      <c r="D96" s="29"/>
      <c r="E96" s="29"/>
      <c r="F96" s="29"/>
      <c r="G96" s="29"/>
      <c r="H96" s="29"/>
    </row>
    <row r="97" spans="2:46" s="26" customFormat="1" x14ac:dyDescent="0.35">
      <c r="B97" s="26" t="s">
        <v>113</v>
      </c>
      <c r="C97" s="26" t="s">
        <v>14</v>
      </c>
      <c r="D97" s="23"/>
      <c r="E97" s="23"/>
      <c r="F97" s="23"/>
      <c r="G97" s="23"/>
      <c r="H97" s="23"/>
      <c r="J97" s="27">
        <f t="shared" ref="J97:AT97" ca="1" si="36">SUM(J98:J100)</f>
        <v>104.75862068965517</v>
      </c>
      <c r="K97" s="27">
        <f t="shared" ca="1" si="36"/>
        <v>104.75862068965517</v>
      </c>
      <c r="L97" s="27">
        <f t="shared" ca="1" si="36"/>
        <v>104.75862068965517</v>
      </c>
      <c r="M97" s="27">
        <f t="shared" ca="1" si="36"/>
        <v>104.75862068965517</v>
      </c>
      <c r="N97" s="27">
        <f t="shared" ca="1" si="36"/>
        <v>104.75862068965517</v>
      </c>
      <c r="O97" s="27">
        <f t="shared" ca="1" si="36"/>
        <v>104.75862068965517</v>
      </c>
      <c r="P97" s="27">
        <f t="shared" ca="1" si="36"/>
        <v>104.75862068965517</v>
      </c>
      <c r="Q97" s="27">
        <f t="shared" ca="1" si="36"/>
        <v>104.75862068965517</v>
      </c>
      <c r="R97" s="27">
        <f t="shared" ca="1" si="36"/>
        <v>104.75862068965517</v>
      </c>
      <c r="S97" s="27">
        <f t="shared" ca="1" si="36"/>
        <v>104.75862068965517</v>
      </c>
      <c r="T97" s="27">
        <f t="shared" ca="1" si="36"/>
        <v>104.75862068965517</v>
      </c>
      <c r="U97" s="27">
        <f t="shared" ca="1" si="36"/>
        <v>104.75862068965517</v>
      </c>
      <c r="V97" s="27">
        <f t="shared" ca="1" si="36"/>
        <v>104.75862068965517</v>
      </c>
      <c r="W97" s="27">
        <f t="shared" ca="1" si="36"/>
        <v>104.75862068965517</v>
      </c>
      <c r="X97" s="27">
        <f t="shared" ca="1" si="36"/>
        <v>104.75862068965517</v>
      </c>
      <c r="Y97" s="27">
        <f t="shared" ca="1" si="36"/>
        <v>104.75862068965517</v>
      </c>
      <c r="Z97" s="27">
        <f t="shared" ca="1" si="36"/>
        <v>104.75862068965517</v>
      </c>
      <c r="AA97" s="27">
        <f t="shared" ca="1" si="36"/>
        <v>104.75862068965517</v>
      </c>
      <c r="AB97" s="27">
        <f t="shared" ca="1" si="36"/>
        <v>104.75862068965517</v>
      </c>
      <c r="AC97" s="27">
        <f t="shared" ca="1" si="36"/>
        <v>104.75862068965517</v>
      </c>
      <c r="AD97" s="27">
        <f t="shared" ca="1" si="36"/>
        <v>104.75862068965517</v>
      </c>
      <c r="AE97" s="27">
        <f t="shared" ca="1" si="36"/>
        <v>104.75862068965517</v>
      </c>
      <c r="AF97" s="27">
        <f t="shared" ca="1" si="36"/>
        <v>104.75862068965517</v>
      </c>
      <c r="AG97" s="27">
        <f t="shared" ca="1" si="36"/>
        <v>104.75862068965517</v>
      </c>
      <c r="AH97" s="27">
        <f t="shared" ca="1" si="36"/>
        <v>104.75862068965517</v>
      </c>
      <c r="AI97" s="27">
        <f t="shared" ca="1" si="36"/>
        <v>104.75862068965517</v>
      </c>
      <c r="AJ97" s="27">
        <f t="shared" ca="1" si="36"/>
        <v>104.75862068965517</v>
      </c>
      <c r="AK97" s="27">
        <f t="shared" ca="1" si="36"/>
        <v>104.75862068965517</v>
      </c>
      <c r="AL97" s="27">
        <f t="shared" ca="1" si="36"/>
        <v>104.75862068965517</v>
      </c>
      <c r="AM97" s="27">
        <f t="shared" ca="1" si="36"/>
        <v>104.75862068965517</v>
      </c>
      <c r="AN97" s="27">
        <f t="shared" ca="1" si="36"/>
        <v>104.75862068965517</v>
      </c>
      <c r="AO97" s="27">
        <f t="shared" ca="1" si="36"/>
        <v>104.75862068965517</v>
      </c>
      <c r="AP97" s="27">
        <f t="shared" ca="1" si="36"/>
        <v>104.75862068965517</v>
      </c>
      <c r="AQ97" s="27">
        <f t="shared" ca="1" si="36"/>
        <v>104.75862068965517</v>
      </c>
      <c r="AR97" s="27">
        <f t="shared" ca="1" si="36"/>
        <v>104.75862068965517</v>
      </c>
      <c r="AS97" s="27">
        <f t="shared" ca="1" si="36"/>
        <v>104.75862068965517</v>
      </c>
      <c r="AT97" s="27">
        <f t="shared" ca="1" si="36"/>
        <v>104.75862068965517</v>
      </c>
    </row>
    <row r="98" spans="2:46" x14ac:dyDescent="0.35">
      <c r="B98" s="22" t="s">
        <v>114</v>
      </c>
      <c r="D98" s="29"/>
      <c r="E98" s="29"/>
      <c r="F98" s="29"/>
      <c r="G98" s="29"/>
      <c r="H98" s="29"/>
      <c r="J98" s="30">
        <f t="shared" ref="J98:AT98" ca="1" si="37">J139</f>
        <v>70</v>
      </c>
      <c r="K98" s="30">
        <f t="shared" ca="1" si="37"/>
        <v>70</v>
      </c>
      <c r="L98" s="30">
        <f t="shared" ca="1" si="37"/>
        <v>70</v>
      </c>
      <c r="M98" s="30">
        <f t="shared" ca="1" si="37"/>
        <v>70</v>
      </c>
      <c r="N98" s="30">
        <f t="shared" ca="1" si="37"/>
        <v>70</v>
      </c>
      <c r="O98" s="30">
        <f t="shared" ca="1" si="37"/>
        <v>70</v>
      </c>
      <c r="P98" s="30">
        <f t="shared" ca="1" si="37"/>
        <v>70</v>
      </c>
      <c r="Q98" s="30">
        <f t="shared" ca="1" si="37"/>
        <v>70</v>
      </c>
      <c r="R98" s="30">
        <f t="shared" ca="1" si="37"/>
        <v>70</v>
      </c>
      <c r="S98" s="30">
        <f t="shared" ca="1" si="37"/>
        <v>70</v>
      </c>
      <c r="T98" s="30">
        <f t="shared" ca="1" si="37"/>
        <v>70</v>
      </c>
      <c r="U98" s="30">
        <f t="shared" ca="1" si="37"/>
        <v>70</v>
      </c>
      <c r="V98" s="30">
        <f t="shared" ca="1" si="37"/>
        <v>70</v>
      </c>
      <c r="W98" s="30">
        <f t="shared" ca="1" si="37"/>
        <v>70</v>
      </c>
      <c r="X98" s="30">
        <f t="shared" ca="1" si="37"/>
        <v>70</v>
      </c>
      <c r="Y98" s="30">
        <f t="shared" ca="1" si="37"/>
        <v>70</v>
      </c>
      <c r="Z98" s="30">
        <f t="shared" ca="1" si="37"/>
        <v>70</v>
      </c>
      <c r="AA98" s="30">
        <f t="shared" ca="1" si="37"/>
        <v>70</v>
      </c>
      <c r="AB98" s="30">
        <f t="shared" ca="1" si="37"/>
        <v>70</v>
      </c>
      <c r="AC98" s="30">
        <f t="shared" ca="1" si="37"/>
        <v>70</v>
      </c>
      <c r="AD98" s="30">
        <f t="shared" ca="1" si="37"/>
        <v>70</v>
      </c>
      <c r="AE98" s="30">
        <f t="shared" ca="1" si="37"/>
        <v>70</v>
      </c>
      <c r="AF98" s="30">
        <f t="shared" ca="1" si="37"/>
        <v>70</v>
      </c>
      <c r="AG98" s="30">
        <f t="shared" ca="1" si="37"/>
        <v>70</v>
      </c>
      <c r="AH98" s="30">
        <f t="shared" ca="1" si="37"/>
        <v>70</v>
      </c>
      <c r="AI98" s="30">
        <f t="shared" ca="1" si="37"/>
        <v>70</v>
      </c>
      <c r="AJ98" s="30">
        <f t="shared" ca="1" si="37"/>
        <v>70</v>
      </c>
      <c r="AK98" s="30">
        <f t="shared" ca="1" si="37"/>
        <v>70</v>
      </c>
      <c r="AL98" s="30">
        <f t="shared" ca="1" si="37"/>
        <v>70</v>
      </c>
      <c r="AM98" s="30">
        <f t="shared" ca="1" si="37"/>
        <v>70</v>
      </c>
      <c r="AN98" s="30">
        <f t="shared" ca="1" si="37"/>
        <v>70</v>
      </c>
      <c r="AO98" s="30">
        <f t="shared" ca="1" si="37"/>
        <v>70</v>
      </c>
      <c r="AP98" s="30">
        <f t="shared" ca="1" si="37"/>
        <v>70</v>
      </c>
      <c r="AQ98" s="30">
        <f t="shared" ca="1" si="37"/>
        <v>70</v>
      </c>
      <c r="AR98" s="30">
        <f t="shared" ca="1" si="37"/>
        <v>70</v>
      </c>
      <c r="AS98" s="30">
        <f t="shared" ca="1" si="37"/>
        <v>70</v>
      </c>
      <c r="AT98" s="30">
        <f t="shared" ca="1" si="37"/>
        <v>70</v>
      </c>
    </row>
    <row r="99" spans="2:46" x14ac:dyDescent="0.35">
      <c r="B99" s="22" t="s">
        <v>115</v>
      </c>
      <c r="D99" s="29"/>
      <c r="E99" s="29"/>
      <c r="F99" s="29"/>
      <c r="G99" s="29"/>
      <c r="H99" s="29"/>
      <c r="J99" s="30">
        <f t="shared" ref="J99:AT99" ca="1" si="38">J134</f>
        <v>10.459770114942529</v>
      </c>
      <c r="K99" s="30">
        <f t="shared" ca="1" si="38"/>
        <v>10.459770114942529</v>
      </c>
      <c r="L99" s="30">
        <f t="shared" ca="1" si="38"/>
        <v>10.459770114942529</v>
      </c>
      <c r="M99" s="30">
        <f t="shared" ca="1" si="38"/>
        <v>10.459770114942529</v>
      </c>
      <c r="N99" s="30">
        <f t="shared" ca="1" si="38"/>
        <v>10.459770114942529</v>
      </c>
      <c r="O99" s="30">
        <f t="shared" ca="1" si="38"/>
        <v>10.459770114942529</v>
      </c>
      <c r="P99" s="30">
        <f t="shared" ca="1" si="38"/>
        <v>10.459770114942529</v>
      </c>
      <c r="Q99" s="30">
        <f t="shared" ca="1" si="38"/>
        <v>10.459770114942529</v>
      </c>
      <c r="R99" s="30">
        <f t="shared" ca="1" si="38"/>
        <v>10.459770114942529</v>
      </c>
      <c r="S99" s="30">
        <f t="shared" ca="1" si="38"/>
        <v>10.459770114942529</v>
      </c>
      <c r="T99" s="30">
        <f t="shared" ca="1" si="38"/>
        <v>10.459770114942529</v>
      </c>
      <c r="U99" s="30">
        <f t="shared" ca="1" si="38"/>
        <v>10.459770114942529</v>
      </c>
      <c r="V99" s="30">
        <f t="shared" ca="1" si="38"/>
        <v>10.459770114942529</v>
      </c>
      <c r="W99" s="30">
        <f t="shared" ca="1" si="38"/>
        <v>10.459770114942529</v>
      </c>
      <c r="X99" s="30">
        <f t="shared" ca="1" si="38"/>
        <v>10.459770114942529</v>
      </c>
      <c r="Y99" s="30">
        <f t="shared" ca="1" si="38"/>
        <v>10.459770114942529</v>
      </c>
      <c r="Z99" s="30">
        <f t="shared" ca="1" si="38"/>
        <v>10.459770114942529</v>
      </c>
      <c r="AA99" s="30">
        <f t="shared" ca="1" si="38"/>
        <v>10.459770114942529</v>
      </c>
      <c r="AB99" s="30">
        <f t="shared" ca="1" si="38"/>
        <v>10.459770114942529</v>
      </c>
      <c r="AC99" s="30">
        <f t="shared" ca="1" si="38"/>
        <v>10.459770114942529</v>
      </c>
      <c r="AD99" s="30">
        <f t="shared" ca="1" si="38"/>
        <v>10.459770114942529</v>
      </c>
      <c r="AE99" s="30">
        <f t="shared" ca="1" si="38"/>
        <v>10.459770114942529</v>
      </c>
      <c r="AF99" s="30">
        <f t="shared" ca="1" si="38"/>
        <v>10.459770114942529</v>
      </c>
      <c r="AG99" s="30">
        <f t="shared" ca="1" si="38"/>
        <v>10.459770114942529</v>
      </c>
      <c r="AH99" s="30">
        <f t="shared" ca="1" si="38"/>
        <v>10.459770114942529</v>
      </c>
      <c r="AI99" s="30">
        <f t="shared" ca="1" si="38"/>
        <v>10.459770114942529</v>
      </c>
      <c r="AJ99" s="30">
        <f t="shared" ca="1" si="38"/>
        <v>10.459770114942529</v>
      </c>
      <c r="AK99" s="30">
        <f t="shared" ca="1" si="38"/>
        <v>10.459770114942529</v>
      </c>
      <c r="AL99" s="30">
        <f t="shared" ca="1" si="38"/>
        <v>10.459770114942529</v>
      </c>
      <c r="AM99" s="30">
        <f t="shared" ca="1" si="38"/>
        <v>10.459770114942529</v>
      </c>
      <c r="AN99" s="30">
        <f t="shared" ca="1" si="38"/>
        <v>10.459770114942529</v>
      </c>
      <c r="AO99" s="30">
        <f t="shared" ca="1" si="38"/>
        <v>10.459770114942529</v>
      </c>
      <c r="AP99" s="30">
        <f t="shared" ca="1" si="38"/>
        <v>10.459770114942529</v>
      </c>
      <c r="AQ99" s="30">
        <f t="shared" ca="1" si="38"/>
        <v>10.459770114942529</v>
      </c>
      <c r="AR99" s="30">
        <f t="shared" ca="1" si="38"/>
        <v>10.459770114942529</v>
      </c>
      <c r="AS99" s="30">
        <f t="shared" ca="1" si="38"/>
        <v>10.459770114942529</v>
      </c>
      <c r="AT99" s="30">
        <f t="shared" ca="1" si="38"/>
        <v>10.459770114942529</v>
      </c>
    </row>
    <row r="100" spans="2:46" x14ac:dyDescent="0.35">
      <c r="B100" s="22" t="s">
        <v>116</v>
      </c>
      <c r="D100" s="29"/>
      <c r="E100" s="29"/>
      <c r="F100" s="29"/>
      <c r="G100" s="29"/>
      <c r="H100" s="29"/>
      <c r="J100" s="30">
        <f t="shared" ref="J100:AT100" ca="1" si="39">J144</f>
        <v>24.298850574712642</v>
      </c>
      <c r="K100" s="30">
        <f t="shared" ca="1" si="39"/>
        <v>24.298850574712642</v>
      </c>
      <c r="L100" s="30">
        <f t="shared" ca="1" si="39"/>
        <v>24.298850574712642</v>
      </c>
      <c r="M100" s="30">
        <f t="shared" ca="1" si="39"/>
        <v>24.298850574712642</v>
      </c>
      <c r="N100" s="30">
        <f t="shared" ca="1" si="39"/>
        <v>24.298850574712642</v>
      </c>
      <c r="O100" s="30">
        <f t="shared" ca="1" si="39"/>
        <v>24.298850574712642</v>
      </c>
      <c r="P100" s="30">
        <f t="shared" ca="1" si="39"/>
        <v>24.298850574712642</v>
      </c>
      <c r="Q100" s="30">
        <f t="shared" ca="1" si="39"/>
        <v>24.298850574712642</v>
      </c>
      <c r="R100" s="30">
        <f t="shared" ca="1" si="39"/>
        <v>24.298850574712642</v>
      </c>
      <c r="S100" s="30">
        <f t="shared" ca="1" si="39"/>
        <v>24.298850574712642</v>
      </c>
      <c r="T100" s="30">
        <f t="shared" ca="1" si="39"/>
        <v>24.298850574712642</v>
      </c>
      <c r="U100" s="30">
        <f t="shared" ca="1" si="39"/>
        <v>24.298850574712642</v>
      </c>
      <c r="V100" s="30">
        <f t="shared" ca="1" si="39"/>
        <v>24.298850574712642</v>
      </c>
      <c r="W100" s="30">
        <f t="shared" ca="1" si="39"/>
        <v>24.298850574712642</v>
      </c>
      <c r="X100" s="30">
        <f t="shared" ca="1" si="39"/>
        <v>24.298850574712642</v>
      </c>
      <c r="Y100" s="30">
        <f t="shared" ca="1" si="39"/>
        <v>24.298850574712642</v>
      </c>
      <c r="Z100" s="30">
        <f t="shared" ca="1" si="39"/>
        <v>24.298850574712642</v>
      </c>
      <c r="AA100" s="30">
        <f t="shared" ca="1" si="39"/>
        <v>24.298850574712642</v>
      </c>
      <c r="AB100" s="30">
        <f t="shared" ca="1" si="39"/>
        <v>24.298850574712642</v>
      </c>
      <c r="AC100" s="30">
        <f t="shared" ca="1" si="39"/>
        <v>24.298850574712642</v>
      </c>
      <c r="AD100" s="30">
        <f t="shared" ca="1" si="39"/>
        <v>24.298850574712642</v>
      </c>
      <c r="AE100" s="30">
        <f t="shared" ca="1" si="39"/>
        <v>24.298850574712642</v>
      </c>
      <c r="AF100" s="30">
        <f t="shared" ca="1" si="39"/>
        <v>24.298850574712642</v>
      </c>
      <c r="AG100" s="30">
        <f t="shared" ca="1" si="39"/>
        <v>24.298850574712642</v>
      </c>
      <c r="AH100" s="30">
        <f t="shared" ca="1" si="39"/>
        <v>24.298850574712642</v>
      </c>
      <c r="AI100" s="30">
        <f t="shared" ca="1" si="39"/>
        <v>24.298850574712642</v>
      </c>
      <c r="AJ100" s="30">
        <f t="shared" ca="1" si="39"/>
        <v>24.298850574712642</v>
      </c>
      <c r="AK100" s="30">
        <f t="shared" ca="1" si="39"/>
        <v>24.298850574712642</v>
      </c>
      <c r="AL100" s="30">
        <f t="shared" ca="1" si="39"/>
        <v>24.298850574712642</v>
      </c>
      <c r="AM100" s="30">
        <f t="shared" ca="1" si="39"/>
        <v>24.298850574712642</v>
      </c>
      <c r="AN100" s="30">
        <f t="shared" ca="1" si="39"/>
        <v>24.298850574712642</v>
      </c>
      <c r="AO100" s="30">
        <f t="shared" ca="1" si="39"/>
        <v>24.298850574712642</v>
      </c>
      <c r="AP100" s="30">
        <f t="shared" ca="1" si="39"/>
        <v>24.298850574712642</v>
      </c>
      <c r="AQ100" s="30">
        <f t="shared" ca="1" si="39"/>
        <v>24.298850574712642</v>
      </c>
      <c r="AR100" s="30">
        <f t="shared" ca="1" si="39"/>
        <v>24.298850574712642</v>
      </c>
      <c r="AS100" s="30">
        <f t="shared" ca="1" si="39"/>
        <v>24.298850574712642</v>
      </c>
      <c r="AT100" s="30">
        <f t="shared" ca="1" si="39"/>
        <v>24.298850574712642</v>
      </c>
    </row>
    <row r="101" spans="2:46" x14ac:dyDescent="0.35">
      <c r="D101" s="29"/>
      <c r="E101" s="29"/>
      <c r="F101" s="29"/>
      <c r="G101" s="29"/>
      <c r="H101" s="29"/>
    </row>
    <row r="102" spans="2:46" s="1" customFormat="1" ht="15" customHeight="1" thickBot="1" x14ac:dyDescent="0.4">
      <c r="B102" s="1" t="s">
        <v>59</v>
      </c>
      <c r="D102" s="2"/>
      <c r="E102" s="2"/>
      <c r="F102" s="2"/>
      <c r="G102" s="2"/>
      <c r="H102" s="2"/>
    </row>
    <row r="103" spans="2:46" x14ac:dyDescent="0.35">
      <c r="B103" t="s">
        <v>117</v>
      </c>
      <c r="C103" t="s">
        <v>14</v>
      </c>
      <c r="G103" s="29"/>
      <c r="H103" s="29"/>
      <c r="J103">
        <f>IF(J$1=DATE(2027,1,1),Предпосылки!$C92,0)+IF(J$1=DATE(2029,1,1),Предпосылки!$C92,0)</f>
        <v>0</v>
      </c>
      <c r="K103">
        <f>IF(K$1=DATE(2027,1,1),Предпосылки!$C92,0)+IF(K$1=DATE(2029,1,1),Предпосылки!$C92,0)</f>
        <v>0</v>
      </c>
      <c r="L103">
        <f>IF(L$1=DATE(2027,1,1),Предпосылки!$C92,0)+IF(L$1=DATE(2029,1,1),Предпосылки!$C92,0)</f>
        <v>0</v>
      </c>
      <c r="M103">
        <f>IF(M$1=DATE(2027,1,1),Предпосылки!$C92,0)+IF(M$1=DATE(2029,1,1),Предпосылки!$C92,0)</f>
        <v>0</v>
      </c>
      <c r="N103">
        <f>IF(N$1=DATE(2027,1,1),Предпосылки!$C92,0)+IF(N$1=DATE(2029,1,1),Предпосылки!$C92,0)</f>
        <v>0</v>
      </c>
      <c r="O103">
        <f>IF(O$1=DATE(2027,1,1),Предпосылки!$C92,0)+IF(O$1=DATE(2029,1,1),Предпосылки!$C92,0)</f>
        <v>0</v>
      </c>
      <c r="P103">
        <f>IF(P$1=DATE(2027,1,1),Предпосылки!$C92,0)+IF(P$1=DATE(2029,1,1),Предпосылки!$C92,0)</f>
        <v>0</v>
      </c>
      <c r="Q103">
        <f>IF(Q$1=DATE(2027,1,1),Предпосылки!$C92,0)+IF(Q$1=DATE(2029,1,1),Предпосылки!$C92,0)</f>
        <v>0</v>
      </c>
      <c r="R103">
        <f>IF(R$1=DATE(2027,1,1),Предпосылки!$C92,0)+IF(R$1=DATE(2029,1,1),Предпосылки!$C92,0)</f>
        <v>0</v>
      </c>
      <c r="S103">
        <f>IF(S$1=DATE(2027,1,1),Предпосылки!$C92,0)+IF(S$1=DATE(2029,1,1),Предпосылки!$C92,0)</f>
        <v>0</v>
      </c>
      <c r="T103">
        <f>IF(T$1=DATE(2027,1,1),Предпосылки!$C92,0)+IF(T$1=DATE(2029,1,1),Предпосылки!$C92,0)</f>
        <v>0</v>
      </c>
      <c r="U103">
        <f>IF(U$1=DATE(2027,1,1),Предпосылки!$C92,0)+IF(U$1=DATE(2029,1,1),Предпосылки!$C92,0)</f>
        <v>0</v>
      </c>
      <c r="V103">
        <f ca="1">IF(V$1=DATE(2027,1,1),Предпосылки!$C92,0)+IF(V$1=DATE(2029,1,1),Предпосылки!$C92,0)</f>
        <v>360</v>
      </c>
      <c r="W103">
        <f>IF(W$1=DATE(2027,1,1),Предпосылки!$C92,0)+IF(W$1=DATE(2029,1,1),Предпосылки!$C92,0)</f>
        <v>0</v>
      </c>
      <c r="X103">
        <f>IF(X$1=DATE(2027,1,1),Предпосылки!$C92,0)+IF(X$1=DATE(2029,1,1),Предпосылки!$C92,0)</f>
        <v>0</v>
      </c>
      <c r="Y103">
        <f>IF(Y$1=DATE(2027,1,1),Предпосылки!$C92,0)+IF(Y$1=DATE(2029,1,1),Предпосылки!$C92,0)</f>
        <v>0</v>
      </c>
      <c r="Z103">
        <f>IF(Z$1=DATE(2027,1,1),Предпосылки!$C92,0)+IF(Z$1=DATE(2029,1,1),Предпосылки!$C92,0)</f>
        <v>0</v>
      </c>
      <c r="AA103">
        <f>IF(AA$1=DATE(2027,1,1),Предпосылки!$C92,0)+IF(AA$1=DATE(2029,1,1),Предпосылки!$C92,0)</f>
        <v>0</v>
      </c>
      <c r="AB103">
        <f>IF(AB$1=DATE(2027,1,1),Предпосылки!$C92,0)+IF(AB$1=DATE(2029,1,1),Предпосылки!$C92,0)</f>
        <v>0</v>
      </c>
      <c r="AC103">
        <f>IF(AC$1=DATE(2027,1,1),Предпосылки!$C92,0)+IF(AC$1=DATE(2029,1,1),Предпосылки!$C92,0)</f>
        <v>0</v>
      </c>
      <c r="AD103">
        <f>IF(AD$1=DATE(2027,1,1),Предпосылки!$C92,0)+IF(AD$1=DATE(2029,1,1),Предпосылки!$C92,0)</f>
        <v>0</v>
      </c>
      <c r="AE103">
        <f>IF(AE$1=DATE(2027,1,1),Предпосылки!$C92,0)+IF(AE$1=DATE(2029,1,1),Предпосылки!$C92,0)</f>
        <v>0</v>
      </c>
      <c r="AF103">
        <f>IF(AF$1=DATE(2027,1,1),Предпосылки!$C92,0)+IF(AF$1=DATE(2029,1,1),Предпосылки!$C92,0)</f>
        <v>0</v>
      </c>
      <c r="AG103">
        <f>IF(AG$1=DATE(2027,1,1),Предпосылки!$C92,0)+IF(AG$1=DATE(2029,1,1),Предпосылки!$C92,0)</f>
        <v>0</v>
      </c>
      <c r="AH103">
        <f>IF(AH$1=DATE(2027,1,1),Предпосылки!$C92,0)+IF(AH$1=DATE(2029,1,1),Предпосылки!$C92,0)</f>
        <v>0</v>
      </c>
      <c r="AI103">
        <f>IF(AI$1=DATE(2027,1,1),Предпосылки!$C92,0)+IF(AI$1=DATE(2029,1,1),Предпосылки!$C92,0)</f>
        <v>0</v>
      </c>
      <c r="AJ103">
        <f>IF(AJ$1=DATE(2027,1,1),Предпосылки!$C92,0)+IF(AJ$1=DATE(2029,1,1),Предпосылки!$C92,0)</f>
        <v>0</v>
      </c>
      <c r="AK103">
        <f>IF(AK$1=DATE(2027,1,1),Предпосылки!$C92,0)+IF(AK$1=DATE(2029,1,1),Предпосылки!$C92,0)</f>
        <v>0</v>
      </c>
      <c r="AL103">
        <f>IF(AL$1=DATE(2027,1,1),Предпосылки!$C92,0)+IF(AL$1=DATE(2029,1,1),Предпосылки!$C92,0)</f>
        <v>0</v>
      </c>
      <c r="AM103">
        <f>IF(AM$1=DATE(2027,1,1),Предпосылки!$C92,0)+IF(AM$1=DATE(2029,1,1),Предпосылки!$C92,0)</f>
        <v>0</v>
      </c>
      <c r="AN103">
        <f>IF(AN$1=DATE(2027,1,1),Предпосылки!$C92,0)+IF(AN$1=DATE(2029,1,1),Предпосылки!$C92,0)</f>
        <v>0</v>
      </c>
      <c r="AO103">
        <f>IF(AO$1=DATE(2027,1,1),Предпосылки!$C92,0)+IF(AO$1=DATE(2029,1,1),Предпосылки!$C92,0)</f>
        <v>0</v>
      </c>
      <c r="AP103">
        <f>IF(AP$1=DATE(2027,1,1),Предпосылки!$C92,0)+IF(AP$1=DATE(2029,1,1),Предпосылки!$C92,0)</f>
        <v>0</v>
      </c>
      <c r="AQ103">
        <f>IF(AQ$1=DATE(2027,1,1),Предпосылки!$C92,0)+IF(AQ$1=DATE(2029,1,1),Предпосылки!$C92,0)</f>
        <v>0</v>
      </c>
      <c r="AR103">
        <f>IF(AR$1=DATE(2027,1,1),Предпосылки!$C92,0)+IF(AR$1=DATE(2029,1,1),Предпосылки!$C92,0)</f>
        <v>0</v>
      </c>
      <c r="AS103">
        <f>IF(AS$1=DATE(2027,1,1),Предпосылки!$C92,0)+IF(AS$1=DATE(2029,1,1),Предпосылки!$C92,0)</f>
        <v>0</v>
      </c>
      <c r="AT103">
        <f ca="1">IF(AT$1=DATE(2027,1,1),Предпосылки!$C92,0)+IF(AT$1=DATE(2029,1,1),Предпосылки!$C92,0)</f>
        <v>360</v>
      </c>
    </row>
    <row r="104" spans="2:46" x14ac:dyDescent="0.35">
      <c r="D104" s="29"/>
      <c r="E104" s="29"/>
      <c r="F104" s="29"/>
      <c r="G104" s="29"/>
      <c r="H104" s="29"/>
    </row>
    <row r="105" spans="2:46" x14ac:dyDescent="0.35">
      <c r="B105" t="s">
        <v>118</v>
      </c>
      <c r="C105" t="s">
        <v>14</v>
      </c>
      <c r="E105" s="29"/>
      <c r="F105" s="29"/>
      <c r="G105" s="29"/>
      <c r="H105" s="29"/>
      <c r="J105">
        <f ca="1">Предпосылки!$C$92/Предпосылки!$C$97</f>
        <v>15</v>
      </c>
      <c r="K105">
        <f ca="1">Предпосылки!$C$92/Предпосылки!$C$97</f>
        <v>15</v>
      </c>
      <c r="L105">
        <f ca="1">Предпосылки!$C$92/Предпосылки!$C$97</f>
        <v>15</v>
      </c>
      <c r="M105">
        <f ca="1">Предпосылки!$C$92/Предпосылки!$C$97</f>
        <v>15</v>
      </c>
      <c r="N105">
        <f ca="1">Предпосылки!$C$92/Предпосылки!$C$97</f>
        <v>15</v>
      </c>
      <c r="O105">
        <f ca="1">Предпосылки!$C$92/Предпосылки!$C$97</f>
        <v>15</v>
      </c>
      <c r="P105">
        <f ca="1">Предпосылки!$C$92/Предпосылки!$C$97</f>
        <v>15</v>
      </c>
      <c r="Q105">
        <f ca="1">Предпосылки!$C$92/Предпосылки!$C$97</f>
        <v>15</v>
      </c>
      <c r="R105">
        <f ca="1">Предпосылки!$C$92/Предпосылки!$C$97</f>
        <v>15</v>
      </c>
      <c r="S105">
        <f ca="1">Предпосылки!$C$92/Предпосылки!$C$97</f>
        <v>15</v>
      </c>
      <c r="T105">
        <f ca="1">Предпосылки!$C$92/Предпосылки!$C$97</f>
        <v>15</v>
      </c>
      <c r="U105">
        <f ca="1">Предпосылки!$C$92/Предпосылки!$C$97</f>
        <v>15</v>
      </c>
      <c r="V105">
        <f ca="1">Предпосылки!$C$92/Предпосылки!$C$97</f>
        <v>15</v>
      </c>
      <c r="W105">
        <f ca="1">Предпосылки!$C$92/Предпосылки!$C$97</f>
        <v>15</v>
      </c>
      <c r="X105">
        <f ca="1">Предпосылки!$C$92/Предпосылки!$C$97</f>
        <v>15</v>
      </c>
      <c r="Y105">
        <f ca="1">Предпосылки!$C$92/Предпосылки!$C$97</f>
        <v>15</v>
      </c>
      <c r="Z105">
        <f ca="1">Предпосылки!$C$92/Предпосылки!$C$97</f>
        <v>15</v>
      </c>
      <c r="AA105">
        <f ca="1">Предпосылки!$C$92/Предпосылки!$C$97</f>
        <v>15</v>
      </c>
      <c r="AB105">
        <f ca="1">Предпосылки!$C$92/Предпосылки!$C$97</f>
        <v>15</v>
      </c>
      <c r="AC105">
        <f ca="1">Предпосылки!$C$92/Предпосылки!$C$97</f>
        <v>15</v>
      </c>
      <c r="AD105">
        <f ca="1">Предпосылки!$C$92/Предпосылки!$C$97</f>
        <v>15</v>
      </c>
      <c r="AE105">
        <f ca="1">Предпосылки!$C$92/Предпосылки!$C$97</f>
        <v>15</v>
      </c>
      <c r="AF105">
        <f ca="1">Предпосылки!$C$92/Предпосылки!$C$97</f>
        <v>15</v>
      </c>
      <c r="AG105">
        <f ca="1">Предпосылки!$C$92/Предпосылки!$C$97</f>
        <v>15</v>
      </c>
      <c r="AH105">
        <f ca="1">Предпосылки!$C$92/Предпосылки!$C$97</f>
        <v>15</v>
      </c>
      <c r="AI105">
        <f ca="1">Предпосылки!$C$92/Предпосылки!$C$97</f>
        <v>15</v>
      </c>
      <c r="AJ105">
        <f ca="1">Предпосылки!$C$92/Предпосылки!$C$97</f>
        <v>15</v>
      </c>
      <c r="AK105">
        <f ca="1">Предпосылки!$C$92/Предпосылки!$C$97</f>
        <v>15</v>
      </c>
      <c r="AL105">
        <f ca="1">Предпосылки!$C$92/Предпосылки!$C$97</f>
        <v>15</v>
      </c>
      <c r="AM105">
        <f ca="1">Предпосылки!$C$92/Предпосылки!$C$97</f>
        <v>15</v>
      </c>
      <c r="AN105">
        <f ca="1">Предпосылки!$C$92/Предпосылки!$C$97</f>
        <v>15</v>
      </c>
      <c r="AO105">
        <f ca="1">Предпосылки!$C$92/Предпосылки!$C$97</f>
        <v>15</v>
      </c>
      <c r="AP105">
        <f ca="1">Предпосылки!$C$92/Предпосылки!$C$97</f>
        <v>15</v>
      </c>
      <c r="AQ105">
        <f ca="1">Предпосылки!$C$92/Предпосылки!$C$97</f>
        <v>15</v>
      </c>
      <c r="AR105">
        <f ca="1">Предпосылки!$C$92/Предпосылки!$C$97</f>
        <v>15</v>
      </c>
      <c r="AS105">
        <f ca="1">Предпосылки!$C$92/Предпосылки!$C$97</f>
        <v>15</v>
      </c>
      <c r="AT105">
        <f ca="1">Предпосылки!$C$92/Предпосылки!$C$97</f>
        <v>15</v>
      </c>
    </row>
    <row r="106" spans="2:46" x14ac:dyDescent="0.35">
      <c r="D106" s="29"/>
      <c r="E106" s="29"/>
      <c r="F106" s="29"/>
      <c r="G106" s="29"/>
      <c r="H106" s="29"/>
    </row>
    <row r="107" spans="2:46" x14ac:dyDescent="0.35">
      <c r="B107" t="s">
        <v>62</v>
      </c>
      <c r="C107" t="s">
        <v>14</v>
      </c>
      <c r="E107" s="29"/>
      <c r="F107" s="29"/>
      <c r="G107" s="29"/>
      <c r="I107">
        <f ca="1">IF(I$1=DATE(2025,12,1),Предпосылки!C96,H107-I105+I103)</f>
        <v>180</v>
      </c>
      <c r="J107">
        <f t="shared" ref="J107:AT107" ca="1" si="40">IF(J$1=DATE(2025,12,1),E107,I107-J105+J103)</f>
        <v>165</v>
      </c>
      <c r="K107">
        <f t="shared" ca="1" si="40"/>
        <v>150</v>
      </c>
      <c r="L107">
        <f t="shared" ca="1" si="40"/>
        <v>135</v>
      </c>
      <c r="M107">
        <f t="shared" ca="1" si="40"/>
        <v>120</v>
      </c>
      <c r="N107">
        <f t="shared" ca="1" si="40"/>
        <v>105</v>
      </c>
      <c r="O107">
        <f t="shared" ca="1" si="40"/>
        <v>90</v>
      </c>
      <c r="P107">
        <f t="shared" ca="1" si="40"/>
        <v>75</v>
      </c>
      <c r="Q107">
        <f t="shared" ca="1" si="40"/>
        <v>60</v>
      </c>
      <c r="R107">
        <f t="shared" ca="1" si="40"/>
        <v>45</v>
      </c>
      <c r="S107">
        <f t="shared" ca="1" si="40"/>
        <v>30</v>
      </c>
      <c r="T107">
        <f t="shared" ca="1" si="40"/>
        <v>15</v>
      </c>
      <c r="U107">
        <f t="shared" ca="1" si="40"/>
        <v>0</v>
      </c>
      <c r="V107">
        <f t="shared" ca="1" si="40"/>
        <v>345</v>
      </c>
      <c r="W107">
        <f t="shared" ca="1" si="40"/>
        <v>330</v>
      </c>
      <c r="X107">
        <f t="shared" ca="1" si="40"/>
        <v>315</v>
      </c>
      <c r="Y107">
        <f t="shared" ca="1" si="40"/>
        <v>300</v>
      </c>
      <c r="Z107">
        <f t="shared" ca="1" si="40"/>
        <v>285</v>
      </c>
      <c r="AA107">
        <f t="shared" ca="1" si="40"/>
        <v>270</v>
      </c>
      <c r="AB107">
        <f t="shared" ca="1" si="40"/>
        <v>255</v>
      </c>
      <c r="AC107">
        <f t="shared" ca="1" si="40"/>
        <v>240</v>
      </c>
      <c r="AD107">
        <f t="shared" ca="1" si="40"/>
        <v>225</v>
      </c>
      <c r="AE107">
        <f t="shared" ca="1" si="40"/>
        <v>210</v>
      </c>
      <c r="AF107">
        <f t="shared" ca="1" si="40"/>
        <v>195</v>
      </c>
      <c r="AG107">
        <f t="shared" ca="1" si="40"/>
        <v>180</v>
      </c>
      <c r="AH107">
        <f t="shared" ca="1" si="40"/>
        <v>165</v>
      </c>
      <c r="AI107">
        <f t="shared" ca="1" si="40"/>
        <v>150</v>
      </c>
      <c r="AJ107">
        <f t="shared" ca="1" si="40"/>
        <v>135</v>
      </c>
      <c r="AK107">
        <f t="shared" ca="1" si="40"/>
        <v>120</v>
      </c>
      <c r="AL107">
        <f t="shared" ca="1" si="40"/>
        <v>105</v>
      </c>
      <c r="AM107">
        <f t="shared" ca="1" si="40"/>
        <v>90</v>
      </c>
      <c r="AN107">
        <f t="shared" ca="1" si="40"/>
        <v>75</v>
      </c>
      <c r="AO107">
        <f t="shared" ca="1" si="40"/>
        <v>60</v>
      </c>
      <c r="AP107">
        <f t="shared" ca="1" si="40"/>
        <v>45</v>
      </c>
      <c r="AQ107">
        <f t="shared" ca="1" si="40"/>
        <v>30</v>
      </c>
      <c r="AR107">
        <f t="shared" ca="1" si="40"/>
        <v>15</v>
      </c>
      <c r="AS107">
        <f t="shared" ca="1" si="40"/>
        <v>0</v>
      </c>
      <c r="AT107">
        <f t="shared" ca="1" si="40"/>
        <v>345</v>
      </c>
    </row>
    <row r="108" spans="2:46" x14ac:dyDescent="0.35">
      <c r="D108" s="29"/>
      <c r="E108" s="29"/>
      <c r="F108" s="29"/>
      <c r="G108" s="29"/>
    </row>
    <row r="109" spans="2:46" s="1" customFormat="1" ht="15" customHeight="1" thickBot="1" x14ac:dyDescent="0.4">
      <c r="B109" s="1" t="s">
        <v>119</v>
      </c>
      <c r="D109" s="2"/>
      <c r="E109" s="2"/>
      <c r="F109" s="2"/>
      <c r="G109" s="2"/>
      <c r="H109" s="2"/>
    </row>
    <row r="110" spans="2:46" x14ac:dyDescent="0.35">
      <c r="B110" t="s">
        <v>120</v>
      </c>
    </row>
    <row r="111" spans="2:46" x14ac:dyDescent="0.35">
      <c r="B111" s="10" t="str">
        <f>B54</f>
        <v>Расходы на печать флаеров без учета НДС</v>
      </c>
      <c r="J111" s="32">
        <f ca="1">J54/(J$15*Предпосылки!$C$7)</f>
        <v>0.18749999999999997</v>
      </c>
      <c r="K111" s="32">
        <f ca="1">K54/(K$15*Предпосылки!$C$7)</f>
        <v>0.1869391824526421</v>
      </c>
      <c r="L111" s="32">
        <f ca="1">L54/(L$15*Предпосылки!$C$7)</f>
        <v>0.18638004232566505</v>
      </c>
      <c r="M111" s="32">
        <f ca="1">M54/(M$15*Предпосылки!$C$7)</f>
        <v>0.1858225746018595</v>
      </c>
      <c r="N111" s="32">
        <f ca="1">N54/(N$15*Предпосылки!$C$7)</f>
        <v>0.18526677427902238</v>
      </c>
      <c r="O111" s="32">
        <f ca="1">O54/(O$15*Предпосылки!$C$7)</f>
        <v>0.1847126363699127</v>
      </c>
      <c r="P111" s="32">
        <f ca="1">P54/(P$15*Предпосылки!$C$7)</f>
        <v>0.18416015590220605</v>
      </c>
      <c r="Q111" s="32">
        <f ca="1">Q54/(Q$15*Предпосылки!$C$7)</f>
        <v>0.18360932791845064</v>
      </c>
      <c r="R111" s="32">
        <f ca="1">R54/(R$15*Предпосылки!$C$7)</f>
        <v>0.18306014747602259</v>
      </c>
      <c r="S111" s="32">
        <f ca="1">S54/(S$15*Предпосылки!$C$7)</f>
        <v>0.18251260964708138</v>
      </c>
      <c r="T111" s="32">
        <f ca="1">T54/(T$15*Предпосылки!$C$7)</f>
        <v>0.18196670951852578</v>
      </c>
      <c r="U111" s="32">
        <f ca="1">U54/(U$15*Предпосылки!$C$7)</f>
        <v>0.18142244219194989</v>
      </c>
      <c r="V111" s="32">
        <f ca="1">V54/(V$15*Предпосылки!$C$7)</f>
        <v>0.18992379292277903</v>
      </c>
      <c r="W111" s="32">
        <f ca="1">W54/(W$15*Предпосылки!$C$7)</f>
        <v>0.18935572574554238</v>
      </c>
      <c r="X111" s="32">
        <f ca="1">X54/(X$15*Предпосылки!$C$7)</f>
        <v>0.18878935767252489</v>
      </c>
      <c r="Y111" s="32">
        <f ca="1">Y54/(Y$15*Предпосылки!$C$7)</f>
        <v>0.18822468362165987</v>
      </c>
      <c r="Z111" s="32">
        <f ca="1">Z54/(Z$15*Предпосылки!$C$7)</f>
        <v>0.18766169852608161</v>
      </c>
      <c r="AA111" s="32">
        <f ca="1">AA54/(AA$15*Предпосылки!$C$7)</f>
        <v>0.18710039733407932</v>
      </c>
      <c r="AB111" s="32">
        <f ca="1">AB54/(AB$15*Предпосылки!$C$7)</f>
        <v>0.18654077500905225</v>
      </c>
      <c r="AC111" s="32">
        <f ca="1">AC54/(AC$15*Предпосылки!$C$7)</f>
        <v>0.18598282652946382</v>
      </c>
      <c r="AD111" s="32">
        <f ca="1">AD54/(AD$15*Предпосылки!$C$7)</f>
        <v>0.18542654688879745</v>
      </c>
      <c r="AE111" s="32">
        <f ca="1">AE54/(AE$15*Предпосылки!$C$7)</f>
        <v>0.18487193109551095</v>
      </c>
      <c r="AF111" s="32">
        <f ca="1">AF54/(AF$15*Предпосылки!$C$7)</f>
        <v>0.18431897417299195</v>
      </c>
      <c r="AG111" s="32">
        <f ca="1">AG54/(AG$15*Предпосылки!$C$7)</f>
        <v>0.18376767115951342</v>
      </c>
      <c r="AH111" s="32">
        <f ca="1">AH54/(AH$15*Предпосылки!$C$7)</f>
        <v>0.19237891796359827</v>
      </c>
      <c r="AI111" s="32">
        <f ca="1">AI54/(AI$15*Предпосылки!$C$7)</f>
        <v>0.19180350744127445</v>
      </c>
      <c r="AJ111" s="32">
        <f ca="1">AJ54/(AJ$15*Предпосылки!$C$7)</f>
        <v>0.19122981798731253</v>
      </c>
      <c r="AK111" s="32">
        <f ca="1">AK54/(AK$15*Предпосылки!$C$7)</f>
        <v>0.19065784445395073</v>
      </c>
      <c r="AL111" s="32">
        <f ca="1">AL54/(AL$15*Предпосылки!$C$7)</f>
        <v>0.19008758170882423</v>
      </c>
      <c r="AM111" s="32">
        <f ca="1">AM54/(AM$15*Предпосылки!$C$7)</f>
        <v>0.18951902463491943</v>
      </c>
      <c r="AN111" s="32">
        <f ca="1">AN54/(AN$15*Предпосылки!$C$7)</f>
        <v>0.18895216813052787</v>
      </c>
      <c r="AO111" s="32">
        <f ca="1">AO54/(AO$15*Предпосылки!$C$7)</f>
        <v>0.18838700710920023</v>
      </c>
      <c r="AP111" s="32">
        <f ca="1">AP54/(AP$15*Предпосылки!$C$7)</f>
        <v>0.18782353649970115</v>
      </c>
      <c r="AQ111" s="32">
        <f ca="1">AQ54/(AQ$15*Предпосылки!$C$7)</f>
        <v>0.18726175124596325</v>
      </c>
      <c r="AR111" s="32">
        <f ca="1">AR54/(AR$15*Предпосылки!$C$7)</f>
        <v>0.18670164630704214</v>
      </c>
      <c r="AS111" s="32">
        <f ca="1">AS54/(AS$15*Предпосылки!$C$7)</f>
        <v>0.18614321665707093</v>
      </c>
      <c r="AT111" s="32"/>
    </row>
    <row r="112" spans="2:46" x14ac:dyDescent="0.35">
      <c r="B112" s="10" t="str">
        <f>B59</f>
        <v>Расходы на распространение флаеров</v>
      </c>
      <c r="J112" s="32">
        <f ca="1">J59/(J$15*Предпосылки!$C$7)</f>
        <v>0.11999999999999998</v>
      </c>
      <c r="K112" s="32">
        <f ca="1">K59/(K$15*Предпосылки!$C$7)</f>
        <v>0.11964107676969093</v>
      </c>
      <c r="L112" s="32">
        <f ca="1">L59/(L$15*Предпосылки!$C$7)</f>
        <v>0.11928322708842563</v>
      </c>
      <c r="M112" s="32">
        <f ca="1">M59/(M$15*Предпосылки!$C$7)</f>
        <v>0.11892644774519007</v>
      </c>
      <c r="N112" s="32">
        <f ca="1">N59/(N$15*Предпосылки!$C$7)</f>
        <v>0.11857073553857433</v>
      </c>
      <c r="O112" s="32">
        <f ca="1">O59/(O$15*Предпосылки!$C$7)</f>
        <v>0.11821608727674413</v>
      </c>
      <c r="P112" s="32">
        <f ca="1">P59/(P$15*Предпосылки!$C$7)</f>
        <v>0.11786249977741188</v>
      </c>
      <c r="Q112" s="32">
        <f ca="1">Q59/(Q$15*Предпосылки!$C$7)</f>
        <v>0.11750996986780846</v>
      </c>
      <c r="R112" s="32">
        <f ca="1">R59/(R$15*Предпосылки!$C$7)</f>
        <v>0.11715849438465445</v>
      </c>
      <c r="S112" s="32">
        <f ca="1">S59/(S$15*Предпосылки!$C$7)</f>
        <v>0.1168080701741321</v>
      </c>
      <c r="T112" s="32">
        <f ca="1">T59/(T$15*Предпосылки!$C$7)</f>
        <v>0.11645869409185651</v>
      </c>
      <c r="U112" s="32">
        <f ca="1">U59/(U$15*Предпосылки!$C$7)</f>
        <v>0.11611036300284792</v>
      </c>
      <c r="V112" s="32">
        <f ca="1">V59/(V$15*Предпосылки!$C$7)</f>
        <v>0.12155122747057859</v>
      </c>
      <c r="W112" s="32">
        <f ca="1">W59/(W$15*Предпосылки!$C$7)</f>
        <v>0.12118766447714714</v>
      </c>
      <c r="X112" s="32">
        <f ca="1">X59/(X$15*Предпосылки!$C$7)</f>
        <v>0.12082518891041594</v>
      </c>
      <c r="Y112" s="32">
        <f ca="1">Y59/(Y$15*Предпосылки!$C$7)</f>
        <v>0.12046379751786231</v>
      </c>
      <c r="Z112" s="32">
        <f ca="1">Z59/(Z$15*Предпосылки!$C$7)</f>
        <v>0.12010348705669226</v>
      </c>
      <c r="AA112" s="32">
        <f ca="1">AA59/(AA$15*Предпосылки!$C$7)</f>
        <v>0.11974425429381078</v>
      </c>
      <c r="AB112" s="32">
        <f ca="1">AB59/(AB$15*Предпосылки!$C$7)</f>
        <v>0.11938609600579345</v>
      </c>
      <c r="AC112" s="32">
        <f ca="1">AC59/(AC$15*Предпосылки!$C$7)</f>
        <v>0.11902900897885686</v>
      </c>
      <c r="AD112" s="32">
        <f ca="1">AD59/(AD$15*Предпосылки!$C$7)</f>
        <v>0.1186729900088304</v>
      </c>
      <c r="AE112" s="32">
        <f ca="1">AE59/(AE$15*Предпосылки!$C$7)</f>
        <v>0.11831803590112702</v>
      </c>
      <c r="AF112" s="32">
        <f ca="1">AF59/(AF$15*Предпосылки!$C$7)</f>
        <v>0.11796414347071484</v>
      </c>
      <c r="AG112" s="32">
        <f ca="1">AG59/(AG$15*Предпосылки!$C$7)</f>
        <v>0.11761130954208864</v>
      </c>
      <c r="AH112" s="32">
        <f ca="1">AH59/(AH$15*Предпосылки!$C$7)</f>
        <v>0.12312250749670291</v>
      </c>
      <c r="AI112" s="32">
        <f ca="1">AI59/(AI$15*Предпосылки!$C$7)</f>
        <v>0.12275424476241568</v>
      </c>
      <c r="AJ112" s="32">
        <f ca="1">AJ59/(AJ$15*Предпосылки!$C$7)</f>
        <v>0.12238708351188005</v>
      </c>
      <c r="AK112" s="32">
        <f ca="1">AK59/(AK$15*Предпосылки!$C$7)</f>
        <v>0.12202102045052848</v>
      </c>
      <c r="AL112" s="32">
        <f ca="1">AL59/(AL$15*Предпосылки!$C$7)</f>
        <v>0.1216560522936475</v>
      </c>
      <c r="AM112" s="32">
        <f ca="1">AM59/(AM$15*Предпосылки!$C$7)</f>
        <v>0.12129217576634845</v>
      </c>
      <c r="AN112" s="32">
        <f ca="1">AN59/(AN$15*Предпосылки!$C$7)</f>
        <v>0.12092938760353784</v>
      </c>
      <c r="AO112" s="32">
        <f ca="1">AO59/(AO$15*Предпосылки!$C$7)</f>
        <v>0.12056768454988817</v>
      </c>
      <c r="AP112" s="32">
        <f ca="1">AP59/(AP$15*Предпосылки!$C$7)</f>
        <v>0.12020706335980877</v>
      </c>
      <c r="AQ112" s="32">
        <f ca="1">AQ59/(AQ$15*Предпосылки!$C$7)</f>
        <v>0.11984752079741652</v>
      </c>
      <c r="AR112" s="32">
        <f ca="1">AR59/(AR$15*Предпосылки!$C$7)</f>
        <v>0.11948905363650698</v>
      </c>
      <c r="AS112" s="32">
        <f ca="1">AS59/(AS$15*Предпосылки!$C$7)</f>
        <v>0.1191316586605254</v>
      </c>
      <c r="AT112" s="32"/>
    </row>
    <row r="113" spans="2:46" x14ac:dyDescent="0.35">
      <c r="B113" s="10" t="str">
        <f>B70</f>
        <v>Расходы на звонки без учета НДС</v>
      </c>
      <c r="J113" s="32">
        <f ca="1">J70/(J$15*Предпосылки!$C$7)</f>
        <v>2.4375000000000001E-2</v>
      </c>
      <c r="K113" s="32">
        <f ca="1">K70/(K$15*Предпосылки!$C$7)</f>
        <v>2.4302093718843475E-2</v>
      </c>
      <c r="L113" s="32">
        <f ca="1">L70/(L$15*Предпосылки!$C$7)</f>
        <v>2.422940550233646E-2</v>
      </c>
      <c r="M113" s="32">
        <f ca="1">M70/(M$15*Предпосылки!$C$7)</f>
        <v>2.4156934698241737E-2</v>
      </c>
      <c r="N113" s="32">
        <f ca="1">N70/(N$15*Предпосылки!$C$7)</f>
        <v>2.4084680656272912E-2</v>
      </c>
      <c r="O113" s="32">
        <f ca="1">O70/(O$15*Предпосылки!$C$7)</f>
        <v>2.4012642728088656E-2</v>
      </c>
      <c r="P113" s="32">
        <f ca="1">P70/(P$15*Предпосылки!$C$7)</f>
        <v>2.3940820267286788E-2</v>
      </c>
      <c r="Q113" s="32">
        <f ca="1">Q70/(Q$15*Предпосылки!$C$7)</f>
        <v>2.3869212629398593E-2</v>
      </c>
      <c r="R113" s="32">
        <f ca="1">R70/(R$15*Предпосылки!$C$7)</f>
        <v>2.3797819171882936E-2</v>
      </c>
      <c r="S113" s="32">
        <f ca="1">S70/(S$15*Предпосылки!$C$7)</f>
        <v>2.3726639254120586E-2</v>
      </c>
      <c r="T113" s="32">
        <f ca="1">T70/(T$15*Предпосылки!$C$7)</f>
        <v>2.3655672237408356E-2</v>
      </c>
      <c r="U113" s="32">
        <f ca="1">U70/(U$15*Предпосылки!$C$7)</f>
        <v>2.3584917484953491E-2</v>
      </c>
      <c r="V113" s="32">
        <f ca="1">V70/(V$15*Предпосылки!$C$7)</f>
        <v>2.4690093079961273E-2</v>
      </c>
      <c r="W113" s="32">
        <f ca="1">W70/(W$15*Предпосылки!$C$7)</f>
        <v>2.4616244346920512E-2</v>
      </c>
      <c r="X113" s="32">
        <f ca="1">X70/(X$15*Предпосылки!$C$7)</f>
        <v>2.4542616497428234E-2</v>
      </c>
      <c r="Y113" s="32">
        <f ca="1">Y70/(Y$15*Предпосылки!$C$7)</f>
        <v>2.4469208870815783E-2</v>
      </c>
      <c r="Z113" s="32">
        <f ca="1">Z70/(Z$15*Предпосылки!$C$7)</f>
        <v>2.4396020808390612E-2</v>
      </c>
      <c r="AA113" s="32">
        <f ca="1">AA70/(AA$15*Предпосылки!$C$7)</f>
        <v>2.4323051653430315E-2</v>
      </c>
      <c r="AB113" s="32">
        <f ca="1">AB70/(AB$15*Предпосылки!$C$7)</f>
        <v>2.4250300751176793E-2</v>
      </c>
      <c r="AC113" s="32">
        <f ca="1">AC70/(AC$15*Предпосылки!$C$7)</f>
        <v>2.4177767448830306E-2</v>
      </c>
      <c r="AD113" s="32">
        <f ca="1">AD70/(AD$15*Предпосылки!$C$7)</f>
        <v>2.4105451095543667E-2</v>
      </c>
      <c r="AE113" s="32">
        <f ca="1">AE70/(AE$15*Предпосылки!$C$7)</f>
        <v>2.4033351042416422E-2</v>
      </c>
      <c r="AF113" s="32">
        <f ca="1">AF70/(AF$15*Предпосылки!$C$7)</f>
        <v>2.3961466642488955E-2</v>
      </c>
      <c r="AG113" s="32">
        <f ca="1">AG70/(AG$15*Предпосылки!$C$7)</f>
        <v>2.3889797250736748E-2</v>
      </c>
      <c r="AH113" s="32">
        <f ca="1">AH70/(AH$15*Предпосылки!$C$7)</f>
        <v>2.5009259335267774E-2</v>
      </c>
      <c r="AI113" s="32">
        <f ca="1">AI70/(AI$15*Предпосылки!$C$7)</f>
        <v>2.4934455967365678E-2</v>
      </c>
      <c r="AJ113" s="32">
        <f ca="1">AJ70/(AJ$15*Предпосылки!$C$7)</f>
        <v>2.4859876338350625E-2</v>
      </c>
      <c r="AK113" s="32">
        <f ca="1">AK70/(AK$15*Предпосылки!$C$7)</f>
        <v>2.4785519779013589E-2</v>
      </c>
      <c r="AL113" s="32">
        <f ca="1">AL70/(AL$15*Предпосылки!$C$7)</f>
        <v>2.4711385622147149E-2</v>
      </c>
      <c r="AM113" s="32">
        <f ca="1">AM70/(AM$15*Предпосылки!$C$7)</f>
        <v>2.463747320253952E-2</v>
      </c>
      <c r="AN113" s="32">
        <f ca="1">AN70/(AN$15*Предпосылки!$C$7)</f>
        <v>2.4563781856968621E-2</v>
      </c>
      <c r="AO113" s="32">
        <f ca="1">AO70/(AO$15*Предпосылки!$C$7)</f>
        <v>2.4490310924196027E-2</v>
      </c>
      <c r="AP113" s="32">
        <f ca="1">AP70/(AP$15*Предпосылки!$C$7)</f>
        <v>2.441705974496115E-2</v>
      </c>
      <c r="AQ113" s="32">
        <f ca="1">AQ70/(AQ$15*Предпосылки!$C$7)</f>
        <v>2.4344027661975218E-2</v>
      </c>
      <c r="AR113" s="32">
        <f ca="1">AR70/(AR$15*Предпосылки!$C$7)</f>
        <v>2.4271214019915478E-2</v>
      </c>
      <c r="AS113" s="32">
        <f ca="1">AS70/(AS$15*Предпосылки!$C$7)</f>
        <v>2.4198618165419215E-2</v>
      </c>
      <c r="AT113" s="32"/>
    </row>
    <row r="114" spans="2:46" x14ac:dyDescent="0.35">
      <c r="B114" s="10" t="str">
        <f>B77</f>
        <v>Расход бумаги</v>
      </c>
      <c r="J114" s="32">
        <f ca="1">J77/(J$15*Предпосылки!$C$7)</f>
        <v>5.9999999999999984E-4</v>
      </c>
      <c r="K114" s="32">
        <f ca="1">K77/(K$15*Предпосылки!$C$7)</f>
        <v>5.9820538384845463E-4</v>
      </c>
      <c r="L114" s="32">
        <f ca="1">L77/(L$15*Предпосылки!$C$7)</f>
        <v>5.9641613544212811E-4</v>
      </c>
      <c r="M114" s="32">
        <f ca="1">M77/(M$15*Предпосылки!$C$7)</f>
        <v>5.9463223872595035E-4</v>
      </c>
      <c r="N114" s="32">
        <f ca="1">N77/(N$15*Предпосылки!$C$7)</f>
        <v>5.9285367769287161E-4</v>
      </c>
      <c r="O114" s="32">
        <f ca="1">O77/(O$15*Предпосылки!$C$7)</f>
        <v>5.9108043638372062E-4</v>
      </c>
      <c r="P114" s="32">
        <f ca="1">P77/(P$15*Предпосылки!$C$7)</f>
        <v>5.8931249888705952E-4</v>
      </c>
      <c r="Q114" s="32">
        <f ca="1">Q77/(Q$15*Предпосылки!$C$7)</f>
        <v>5.8754984933904217E-4</v>
      </c>
      <c r="R114" s="32">
        <f ca="1">R77/(R$15*Предпосылки!$C$7)</f>
        <v>5.857924719232724E-4</v>
      </c>
      <c r="S114" s="32">
        <f ca="1">S77/(S$15*Предпосылки!$C$7)</f>
        <v>5.8404035087066041E-4</v>
      </c>
      <c r="T114" s="32">
        <f ca="1">T77/(T$15*Предпосылки!$C$7)</f>
        <v>5.8229347045928254E-4</v>
      </c>
      <c r="U114" s="32">
        <f ca="1">U77/(U$15*Предпосылки!$C$7)</f>
        <v>5.805518150142397E-4</v>
      </c>
      <c r="V114" s="32">
        <f ca="1">V77/(V$15*Предпосылки!$C$7)</f>
        <v>5.7881536890751727E-4</v>
      </c>
      <c r="W114" s="32">
        <f ca="1">W77/(W$15*Предпосылки!$C$7)</f>
        <v>5.7708411655784362E-4</v>
      </c>
      <c r="X114" s="32">
        <f ca="1">X77/(X$15*Предпосылки!$C$7)</f>
        <v>5.7535804243055201E-4</v>
      </c>
      <c r="Y114" s="32">
        <f ca="1">Y77/(Y$15*Предпосылки!$C$7)</f>
        <v>5.7363713103743979E-4</v>
      </c>
      <c r="Z114" s="32">
        <f ca="1">Z77/(Z$15*Предпосылки!$C$7)</f>
        <v>5.7192136693662971E-4</v>
      </c>
      <c r="AA114" s="32">
        <f ca="1">AA77/(AA$15*Предпосылки!$C$7)</f>
        <v>5.7021073473243248E-4</v>
      </c>
      <c r="AB114" s="32">
        <f ca="1">AB77/(AB$15*Предпосылки!$C$7)</f>
        <v>5.6850521907520694E-4</v>
      </c>
      <c r="AC114" s="32">
        <f ca="1">AC77/(AC$15*Предпосылки!$C$7)</f>
        <v>5.6680480466122325E-4</v>
      </c>
      <c r="AD114" s="32">
        <f ca="1">AD77/(AD$15*Предпосылки!$C$7)</f>
        <v>5.6510947623252569E-4</v>
      </c>
      <c r="AE114" s="32">
        <f ca="1">AE77/(AE$15*Предпосылки!$C$7)</f>
        <v>5.6341921857679545E-4</v>
      </c>
      <c r="AF114" s="32">
        <f ca="1">AF77/(AF$15*Предпосылки!$C$7)</f>
        <v>5.6173401652721356E-4</v>
      </c>
      <c r="AG114" s="32">
        <f ca="1">AG77/(AG$15*Предпосылки!$C$7)</f>
        <v>5.6005385496232676E-4</v>
      </c>
      <c r="AH114" s="32">
        <f ca="1">AH77/(AH$15*Предпосылки!$C$7)</f>
        <v>5.5837871880590889E-4</v>
      </c>
      <c r="AI114" s="32">
        <f ca="1">AI77/(AI$15*Предпосылки!$C$7)</f>
        <v>5.5670859302682832E-4</v>
      </c>
      <c r="AJ114" s="32">
        <f ca="1">AJ77/(AJ$15*Предпосылки!$C$7)</f>
        <v>5.5504346263891163E-4</v>
      </c>
      <c r="AK114" s="32">
        <f ca="1">AK77/(AK$15*Предпосылки!$C$7)</f>
        <v>5.5338331270080932E-4</v>
      </c>
      <c r="AL114" s="32">
        <f ca="1">AL77/(AL$15*Предпосылки!$C$7)</f>
        <v>5.5172812831586176E-4</v>
      </c>
      <c r="AM114" s="32">
        <f ca="1">AM77/(AM$15*Предпосылки!$C$7)</f>
        <v>5.5007789463196578E-4</v>
      </c>
      <c r="AN114" s="32">
        <f ca="1">AN77/(AN$15*Предпосылки!$C$7)</f>
        <v>5.4843259684144146E-4</v>
      </c>
      <c r="AO114" s="32">
        <f ca="1">AO77/(AO$15*Предпосылки!$C$7)</f>
        <v>5.4679222018089862E-4</v>
      </c>
      <c r="AP114" s="32">
        <f ca="1">AP77/(AP$15*Предпосылки!$C$7)</f>
        <v>5.4515674993110559E-4</v>
      </c>
      <c r="AQ114" s="32">
        <f ca="1">AQ77/(AQ$15*Предпосылки!$C$7)</f>
        <v>5.4352617141685479E-4</v>
      </c>
      <c r="AR114" s="32">
        <f ca="1">AR77/(AR$15*Предпосылки!$C$7)</f>
        <v>5.4190047000683434E-4</v>
      </c>
      <c r="AS114" s="32">
        <f ca="1">AS77/(AS$15*Предпосылки!$C$7)</f>
        <v>5.4027963111349389E-4</v>
      </c>
      <c r="AT114" s="32"/>
    </row>
    <row r="115" spans="2:46" x14ac:dyDescent="0.35">
      <c r="B115" s="10" t="str">
        <f>B86</f>
        <v>Расход краски без учета НДС</v>
      </c>
      <c r="J115" s="32">
        <f ca="1">J86/(J$15*Предпосылки!$C$7)</f>
        <v>5.9999999999999984E-4</v>
      </c>
      <c r="K115" s="32">
        <f ca="1">K86/(K$15*Предпосылки!$C$7)</f>
        <v>5.9820538384845463E-4</v>
      </c>
      <c r="L115" s="32">
        <f ca="1">L86/(L$15*Предпосылки!$C$7)</f>
        <v>5.9641613544212811E-4</v>
      </c>
      <c r="M115" s="32">
        <f ca="1">M86/(M$15*Предпосылки!$C$7)</f>
        <v>5.9463223872595035E-4</v>
      </c>
      <c r="N115" s="32">
        <f ca="1">N86/(N$15*Предпосылки!$C$7)</f>
        <v>5.9285367769287161E-4</v>
      </c>
      <c r="O115" s="32">
        <f ca="1">O86/(O$15*Предпосылки!$C$7)</f>
        <v>5.9108043638372062E-4</v>
      </c>
      <c r="P115" s="32">
        <f ca="1">P86/(P$15*Предпосылки!$C$7)</f>
        <v>5.8931249888705952E-4</v>
      </c>
      <c r="Q115" s="32">
        <f ca="1">Q86/(Q$15*Предпосылки!$C$7)</f>
        <v>5.8754984933904217E-4</v>
      </c>
      <c r="R115" s="32">
        <f ca="1">R86/(R$15*Предпосылки!$C$7)</f>
        <v>5.857924719232724E-4</v>
      </c>
      <c r="S115" s="32">
        <f ca="1">S86/(S$15*Предпосылки!$C$7)</f>
        <v>5.8404035087066041E-4</v>
      </c>
      <c r="T115" s="32">
        <f ca="1">T86/(T$15*Предпосылки!$C$7)</f>
        <v>5.8229347045928254E-4</v>
      </c>
      <c r="U115" s="32">
        <f ca="1">U86/(U$15*Предпосылки!$C$7)</f>
        <v>5.805518150142397E-4</v>
      </c>
      <c r="V115" s="32">
        <f ca="1">V86/(V$15*Предпосылки!$C$7)</f>
        <v>5.7881536890751727E-4</v>
      </c>
      <c r="W115" s="32">
        <f ca="1">W86/(W$15*Предпосылки!$C$7)</f>
        <v>5.7708411655784362E-4</v>
      </c>
      <c r="X115" s="32">
        <f ca="1">X86/(X$15*Предпосылки!$C$7)</f>
        <v>5.7535804243055201E-4</v>
      </c>
      <c r="Y115" s="32">
        <f ca="1">Y86/(Y$15*Предпосылки!$C$7)</f>
        <v>5.7363713103743979E-4</v>
      </c>
      <c r="Z115" s="32">
        <f ca="1">Z86/(Z$15*Предпосылки!$C$7)</f>
        <v>5.7192136693662971E-4</v>
      </c>
      <c r="AA115" s="32">
        <f ca="1">AA86/(AA$15*Предпосылки!$C$7)</f>
        <v>5.7021073473243248E-4</v>
      </c>
      <c r="AB115" s="32">
        <f ca="1">AB86/(AB$15*Предпосылки!$C$7)</f>
        <v>5.6850521907520694E-4</v>
      </c>
      <c r="AC115" s="32">
        <f ca="1">AC86/(AC$15*Предпосылки!$C$7)</f>
        <v>5.6680480466122325E-4</v>
      </c>
      <c r="AD115" s="32">
        <f ca="1">AD86/(AD$15*Предпосылки!$C$7)</f>
        <v>5.6510947623252569E-4</v>
      </c>
      <c r="AE115" s="32">
        <f ca="1">AE86/(AE$15*Предпосылки!$C$7)</f>
        <v>5.6341921857679545E-4</v>
      </c>
      <c r="AF115" s="32">
        <f ca="1">AF86/(AF$15*Предпосылки!$C$7)</f>
        <v>5.6173401652721356E-4</v>
      </c>
      <c r="AG115" s="32">
        <f ca="1">AG86/(AG$15*Предпосылки!$C$7)</f>
        <v>5.6005385496232676E-4</v>
      </c>
      <c r="AH115" s="32">
        <f ca="1">AH86/(AH$15*Предпосылки!$C$7)</f>
        <v>5.5837871880590889E-4</v>
      </c>
      <c r="AI115" s="32">
        <f ca="1">AI86/(AI$15*Предпосылки!$C$7)</f>
        <v>5.5670859302682832E-4</v>
      </c>
      <c r="AJ115" s="32">
        <f ca="1">AJ86/(AJ$15*Предпосылки!$C$7)</f>
        <v>5.5504346263891163E-4</v>
      </c>
      <c r="AK115" s="32">
        <f ca="1">AK86/(AK$15*Предпосылки!$C$7)</f>
        <v>5.5338331270080932E-4</v>
      </c>
      <c r="AL115" s="32">
        <f ca="1">AL86/(AL$15*Предпосылки!$C$7)</f>
        <v>5.5172812831586176E-4</v>
      </c>
      <c r="AM115" s="32">
        <f ca="1">AM86/(AM$15*Предпосылки!$C$7)</f>
        <v>5.5007789463196578E-4</v>
      </c>
      <c r="AN115" s="32">
        <f ca="1">AN86/(AN$15*Предпосылки!$C$7)</f>
        <v>5.4843259684144146E-4</v>
      </c>
      <c r="AO115" s="32">
        <f ca="1">AO86/(AO$15*Предпосылки!$C$7)</f>
        <v>5.4679222018089862E-4</v>
      </c>
      <c r="AP115" s="32">
        <f ca="1">AP86/(AP$15*Предпосылки!$C$7)</f>
        <v>5.4515674993110559E-4</v>
      </c>
      <c r="AQ115" s="32">
        <f ca="1">AQ86/(AQ$15*Предпосылки!$C$7)</f>
        <v>5.4352617141685479E-4</v>
      </c>
      <c r="AR115" s="32">
        <f ca="1">AR86/(AR$15*Предпосылки!$C$7)</f>
        <v>5.4190047000683434E-4</v>
      </c>
      <c r="AS115" s="32">
        <f ca="1">AS86/(AS$15*Предпосылки!$C$7)</f>
        <v>5.4027963111349389E-4</v>
      </c>
      <c r="AT115" s="32"/>
    </row>
    <row r="116" spans="2:46" x14ac:dyDescent="0.35">
      <c r="B116" s="21" t="str">
        <f>B91</f>
        <v>Доступ к системе поиска туров без учета НДС</v>
      </c>
      <c r="J116" s="32">
        <f ca="1">J91/(J$15*Предпосылки!$C$7)</f>
        <v>3.9999999999999994E-2</v>
      </c>
      <c r="K116" s="32">
        <f ca="1">K91/(K$15*Предпосылки!$C$7)</f>
        <v>3.9485503884386451E-2</v>
      </c>
      <c r="L116" s="32">
        <f ca="1">L91/(L$15*Предпосылки!$C$7)</f>
        <v>3.8977625425097417E-2</v>
      </c>
      <c r="M116" s="32">
        <f ca="1">M91/(M$15*Предпосылки!$C$7)</f>
        <v>3.8476279503171111E-2</v>
      </c>
      <c r="N116" s="32">
        <f ca="1">N91/(N$15*Предпосылки!$C$7)</f>
        <v>1.8990691047240011E-2</v>
      </c>
      <c r="O116" s="32">
        <f ca="1">O91/(O$15*Предпосылки!$C$7)</f>
        <v>3.7492850255648934E-2</v>
      </c>
      <c r="P116" s="32">
        <f ca="1">P91/(P$15*Предпосылки!$C$7)</f>
        <v>3.7010602110153626E-2</v>
      </c>
      <c r="Q116" s="32">
        <f ca="1">Q91/(Q$15*Предпосылки!$C$7)</f>
        <v>2.4356371223065866E-2</v>
      </c>
      <c r="R116" s="32">
        <f ca="1">R91/(R$15*Предпосылки!$C$7)</f>
        <v>3.6064634645172199E-2</v>
      </c>
      <c r="S116" s="32">
        <f ca="1">S91/(S$15*Предпосылки!$C$7)</f>
        <v>3.5600756784273123E-2</v>
      </c>
      <c r="T116" s="32">
        <f ca="1">T91/(T$15*Предпосылки!$C$7)</f>
        <v>3.5142845507312843E-2</v>
      </c>
      <c r="U116" s="32">
        <f ca="1">U91/(U$15*Предпосылки!$C$7)</f>
        <v>1.7345412034842418E-2</v>
      </c>
      <c r="V116" s="32">
        <f ca="1">V91/(V$15*Предпосылки!$C$7)</f>
        <v>3.5956847549597819E-2</v>
      </c>
      <c r="W116" s="32">
        <f ca="1">W91/(W$15*Предпосылки!$C$7)</f>
        <v>3.5494356089748401E-2</v>
      </c>
      <c r="X116" s="32">
        <f ca="1">X91/(X$15*Предпосылки!$C$7)</f>
        <v>3.5037813381388901E-2</v>
      </c>
      <c r="Y116" s="32">
        <f ca="1">Y91/(Y$15*Предпосылки!$C$7)</f>
        <v>3.4587142909280971E-2</v>
      </c>
      <c r="Z116" s="32">
        <f ca="1">Z91/(Z$15*Предпосылки!$C$7)</f>
        <v>1.7071134571178034E-2</v>
      </c>
      <c r="AA116" s="32">
        <f ca="1">AA91/(AA$15*Предпосылки!$C$7)</f>
        <v>3.3703117521056696E-2</v>
      </c>
      <c r="AB116" s="32">
        <f ca="1">AB91/(AB$15*Предпосылки!$C$7)</f>
        <v>3.3269614444840431E-2</v>
      </c>
      <c r="AC116" s="32">
        <f ca="1">AC91/(AC$15*Предпосылки!$C$7)</f>
        <v>2.1894458173229773E-2</v>
      </c>
      <c r="AD116" s="32">
        <f ca="1">AD91/(AD$15*Предпосылки!$C$7)</f>
        <v>3.2419264246710024E-2</v>
      </c>
      <c r="AE116" s="32">
        <f ca="1">AE91/(AE$15*Предпосылки!$C$7)</f>
        <v>3.2002274608560491E-2</v>
      </c>
      <c r="AF116" s="32">
        <f ca="1">AF91/(AF$15*Предпосылки!$C$7)</f>
        <v>3.1590648459137914E-2</v>
      </c>
      <c r="AG116" s="32">
        <f ca="1">AG91/(AG$15*Предпосылки!$C$7)</f>
        <v>1.5592158405544711E-2</v>
      </c>
      <c r="AH116" s="32">
        <f ca="1">AH91/(AH$15*Предпосылки!$C$7)</f>
        <v>3.2322372142625476E-2</v>
      </c>
      <c r="AI116" s="32">
        <f ca="1">AI91/(AI$15*Предпосылки!$C$7)</f>
        <v>3.1906628769755564E-2</v>
      </c>
      <c r="AJ116" s="32">
        <f ca="1">AJ91/(AJ$15*Предпосылки!$C$7)</f>
        <v>3.1496232855646497E-2</v>
      </c>
      <c r="AK116" s="32">
        <f ca="1">AK91/(AK$15*Предпосылки!$C$7)</f>
        <v>3.1091115619129243E-2</v>
      </c>
      <c r="AL116" s="32">
        <f ca="1">AL91/(AL$15*Предпосылки!$C$7)</f>
        <v>1.5345604581862947E-2</v>
      </c>
      <c r="AM116" s="32">
        <f ca="1">AM91/(AM$15*Предпосылки!$C$7)</f>
        <v>3.0296446466270381E-2</v>
      </c>
      <c r="AN116" s="32">
        <f ca="1">AN91/(AN$15*Предпосылки!$C$7)</f>
        <v>2.9906761365675633E-2</v>
      </c>
      <c r="AO116" s="32">
        <f ca="1">AO91/(AO$15*Предпосылки!$C$7)</f>
        <v>1.9681392367896722E-2</v>
      </c>
      <c r="AP116" s="32">
        <f ca="1">AP91/(AP$15*Предпосылки!$C$7)</f>
        <v>2.9142363554726994E-2</v>
      </c>
      <c r="AQ116" s="32">
        <f ca="1">AQ91/(AQ$15*Предпосылки!$C$7)</f>
        <v>2.8767522733509365E-2</v>
      </c>
      <c r="AR116" s="32">
        <f ca="1">AR91/(AR$15*Предпосылки!$C$7)</f>
        <v>2.8397503265953989E-2</v>
      </c>
      <c r="AS116" s="32">
        <f ca="1">AS91/(AS$15*Предпосылки!$C$7)</f>
        <v>1.4016121568933785E-2</v>
      </c>
      <c r="AT116" s="32"/>
    </row>
    <row r="117" spans="2:46" x14ac:dyDescent="0.35">
      <c r="B117" s="21" t="str">
        <f>B95</f>
        <v>Аренда офиса без учета НДС</v>
      </c>
      <c r="J117" s="32">
        <f ca="1">J95/(J$15*Предпосылки!$C$7)</f>
        <v>1.9999999999999997E-2</v>
      </c>
      <c r="K117" s="32">
        <f ca="1">K95/(K$15*Предпосылки!$C$7)</f>
        <v>1.9742751942193226E-2</v>
      </c>
      <c r="L117" s="32">
        <f ca="1">L95/(L$15*Предпосылки!$C$7)</f>
        <v>1.9488812712548709E-2</v>
      </c>
      <c r="M117" s="32">
        <f ca="1">M95/(M$15*Предпосылки!$C$7)</f>
        <v>1.9238139751585556E-2</v>
      </c>
      <c r="N117" s="32">
        <f ca="1">N95/(N$15*Предпосылки!$C$7)</f>
        <v>9.4953455236200055E-3</v>
      </c>
      <c r="O117" s="32">
        <f ca="1">O95/(O$15*Предпосылки!$C$7)</f>
        <v>1.8746425127824467E-2</v>
      </c>
      <c r="P117" s="32">
        <f ca="1">P95/(P$15*Предпосылки!$C$7)</f>
        <v>1.8505301055076813E-2</v>
      </c>
      <c r="Q117" s="32">
        <f ca="1">Q95/(Q$15*Предпосылки!$C$7)</f>
        <v>1.2178185611532933E-2</v>
      </c>
      <c r="R117" s="32">
        <f ca="1">R95/(R$15*Предпосылки!$C$7)</f>
        <v>1.8032317322586099E-2</v>
      </c>
      <c r="S117" s="32">
        <f ca="1">S95/(S$15*Предпосылки!$C$7)</f>
        <v>1.7800378392136561E-2</v>
      </c>
      <c r="T117" s="32">
        <f ca="1">T95/(T$15*Предпосылки!$C$7)</f>
        <v>1.7571422753656422E-2</v>
      </c>
      <c r="U117" s="32">
        <f ca="1">U95/(U$15*Предпосылки!$C$7)</f>
        <v>8.6727060174212091E-3</v>
      </c>
      <c r="V117" s="32">
        <f ca="1">V95/(V$15*Предпосылки!$C$7)</f>
        <v>1.7978423774798909E-2</v>
      </c>
      <c r="W117" s="32">
        <f ca="1">W95/(W$15*Предпосылки!$C$7)</f>
        <v>1.77471780448742E-2</v>
      </c>
      <c r="X117" s="32">
        <f ca="1">X95/(X$15*Предпосылки!$C$7)</f>
        <v>1.751890669069445E-2</v>
      </c>
      <c r="Y117" s="32">
        <f ca="1">Y95/(Y$15*Предпосылки!$C$7)</f>
        <v>1.7293571454640486E-2</v>
      </c>
      <c r="Z117" s="32">
        <f ca="1">Z95/(Z$15*Предпосылки!$C$7)</f>
        <v>8.5355672855890168E-3</v>
      </c>
      <c r="AA117" s="32">
        <f ca="1">AA95/(AA$15*Предпосылки!$C$7)</f>
        <v>1.6851558760528348E-2</v>
      </c>
      <c r="AB117" s="32">
        <f ca="1">AB95/(AB$15*Предпосылки!$C$7)</f>
        <v>1.6634807222420216E-2</v>
      </c>
      <c r="AC117" s="32">
        <f ca="1">AC95/(AC$15*Предпосылки!$C$7)</f>
        <v>1.0947229086614886E-2</v>
      </c>
      <c r="AD117" s="32">
        <f ca="1">AD95/(AD$15*Предпосылки!$C$7)</f>
        <v>1.6209632123355012E-2</v>
      </c>
      <c r="AE117" s="32">
        <f ca="1">AE95/(AE$15*Предпосылки!$C$7)</f>
        <v>1.6001137304280245E-2</v>
      </c>
      <c r="AF117" s="32">
        <f ca="1">AF95/(AF$15*Предпосылки!$C$7)</f>
        <v>1.5795324229568957E-2</v>
      </c>
      <c r="AG117" s="32">
        <f ca="1">AG95/(AG$15*Предпосылки!$C$7)</f>
        <v>7.7960792027723554E-3</v>
      </c>
      <c r="AH117" s="32">
        <f ca="1">AH95/(AH$15*Предпосылки!$C$7)</f>
        <v>1.6161186071312738E-2</v>
      </c>
      <c r="AI117" s="32">
        <f ca="1">AI95/(AI$15*Предпосылки!$C$7)</f>
        <v>1.5953314384877782E-2</v>
      </c>
      <c r="AJ117" s="32">
        <f ca="1">AJ95/(AJ$15*Предпосылки!$C$7)</f>
        <v>1.5748116427823249E-2</v>
      </c>
      <c r="AK117" s="32">
        <f ca="1">AK95/(AK$15*Предпосылки!$C$7)</f>
        <v>1.5545557809564622E-2</v>
      </c>
      <c r="AL117" s="32">
        <f ca="1">AL95/(AL$15*Предпосылки!$C$7)</f>
        <v>7.6728022909314736E-3</v>
      </c>
      <c r="AM117" s="32">
        <f ca="1">AM95/(AM$15*Предпосылки!$C$7)</f>
        <v>1.5148223233135191E-2</v>
      </c>
      <c r="AN117" s="32">
        <f ca="1">AN95/(AN$15*Предпосылки!$C$7)</f>
        <v>1.4953380682837816E-2</v>
      </c>
      <c r="AO117" s="32">
        <f ca="1">AO95/(AO$15*Предпосылки!$C$7)</f>
        <v>9.8406961839483612E-3</v>
      </c>
      <c r="AP117" s="32">
        <f ca="1">AP95/(AP$15*Предпосылки!$C$7)</f>
        <v>1.4571181777363497E-2</v>
      </c>
      <c r="AQ117" s="32">
        <f ca="1">AQ95/(AQ$15*Предпосылки!$C$7)</f>
        <v>1.4383761366754682E-2</v>
      </c>
      <c r="AR117" s="32">
        <f ca="1">AR95/(AR$15*Предпосылки!$C$7)</f>
        <v>1.4198751632976995E-2</v>
      </c>
      <c r="AS117" s="32">
        <f ca="1">AS95/(AS$15*Предпосылки!$C$7)</f>
        <v>7.0080607844668925E-3</v>
      </c>
      <c r="AT117" s="32"/>
    </row>
    <row r="119" spans="2:46" s="1" customFormat="1" ht="15" customHeight="1" thickBot="1" x14ac:dyDescent="0.4">
      <c r="B119" s="1" t="s">
        <v>121</v>
      </c>
      <c r="D119" s="2"/>
      <c r="E119" s="2"/>
      <c r="F119" s="2"/>
      <c r="G119" s="2"/>
      <c r="H119" s="2"/>
    </row>
    <row r="120" spans="2:46" x14ac:dyDescent="0.35">
      <c r="B120" t="s">
        <v>122</v>
      </c>
      <c r="C120" t="s">
        <v>14</v>
      </c>
      <c r="J120" s="13">
        <f ca="1">(J13-J15)*Предпосылки!$C$7</f>
        <v>41.666666666666657</v>
      </c>
      <c r="K120" s="13">
        <f ca="1">(K13-K15)*Предпосылки!$C$7</f>
        <v>42.209583333333335</v>
      </c>
      <c r="L120" s="13">
        <f ca="1">(L13-L15)*Предпосылки!$C$7</f>
        <v>42.759574204166626</v>
      </c>
      <c r="M120" s="13">
        <f ca="1">(M13-M15)*Предпосылки!$C$7</f>
        <v>43.316731456046959</v>
      </c>
      <c r="N120" s="13">
        <f ca="1">(N13-N15)*Предпосылки!$C$7</f>
        <v>87.7622969338384</v>
      </c>
      <c r="O120" s="13">
        <f ca="1">(O13-O15)*Предпосылки!$C$7</f>
        <v>44.452919831443211</v>
      </c>
      <c r="P120" s="13">
        <f ca="1">(P13-P15)*Предпосылки!$C$7</f>
        <v>45.032141376846951</v>
      </c>
      <c r="Q120" s="13">
        <f ca="1">(Q13-Q15)*Предпосылки!$C$7</f>
        <v>68.428365268480775</v>
      </c>
      <c r="R120" s="13">
        <f ca="1">(R13-R15)*Предпосылки!$C$7</f>
        <v>46.213324578619449</v>
      </c>
      <c r="S120" s="13">
        <f ca="1">(S13-S15)*Предпосылки!$C$7</f>
        <v>46.815484197878874</v>
      </c>
      <c r="T120" s="13">
        <f ca="1">(T13-T15)*Предпосылки!$C$7</f>
        <v>47.425489956977209</v>
      </c>
      <c r="U120" s="13">
        <f ca="1">(U13-U15)*Предпосылки!$C$7</f>
        <v>96.086888182233182</v>
      </c>
      <c r="V120" s="13">
        <f ca="1">(V13-V15)*Предпосылки!$C$7</f>
        <v>48.669450167623836</v>
      </c>
      <c r="W120" s="13">
        <f ca="1">(W13-W15)*Предпосылки!$C$7</f>
        <v>49.303613103308003</v>
      </c>
      <c r="X120" s="13">
        <f ca="1">(X13-X15)*Предпосылки!$C$7</f>
        <v>49.946039182044117</v>
      </c>
      <c r="Y120" s="13">
        <f ca="1">(Y13-Y15)*Предпосылки!$C$7</f>
        <v>50.596836072586171</v>
      </c>
      <c r="Z120" s="13">
        <f ca="1">(Z13-Z15)*Предпосылки!$C$7</f>
        <v>102.51222569322381</v>
      </c>
      <c r="AA120" s="13">
        <f ca="1">(AA13-AA15)*Предпосылки!$C$7</f>
        <v>51.923979997003244</v>
      </c>
      <c r="AB120" s="13">
        <f ca="1">(AB13-AB15)*Предпосылки!$C$7</f>
        <v>52.600549456364256</v>
      </c>
      <c r="AC120" s="13">
        <f ca="1">(AC13-AC15)*Предпосылки!$C$7</f>
        <v>79.928901923671049</v>
      </c>
      <c r="AD120" s="13">
        <f ca="1">(AD13-AD15)*Предпосылки!$C$7</f>
        <v>53.980250343824267</v>
      </c>
      <c r="AE120" s="13">
        <f ca="1">(AE13-AE15)*Предпосылки!$C$7</f>
        <v>54.683613005804368</v>
      </c>
      <c r="AF120" s="13">
        <f ca="1">(AF13-AF15)*Предпосылки!$C$7</f>
        <v>55.396140483269939</v>
      </c>
      <c r="AG120" s="13">
        <f ca="1">(AG13-AG15)*Предпосылки!$C$7</f>
        <v>112.23590438753399</v>
      </c>
      <c r="AH120" s="13">
        <f ca="1">(AH13-AH15)*Предпосылки!$C$7</f>
        <v>56.849169110851747</v>
      </c>
      <c r="AI120" s="13">
        <f ca="1">(AI13-AI15)*Предпосылки!$C$7</f>
        <v>57.589913784366175</v>
      </c>
      <c r="AJ120" s="13">
        <f ca="1">(AJ13-AJ15)*Предпосылки!$C$7</f>
        <v>58.340310360976403</v>
      </c>
      <c r="AK120" s="13">
        <f ca="1">(AK13-AK15)*Предпосылки!$C$7</f>
        <v>59.100484604979968</v>
      </c>
      <c r="AL120" s="13">
        <f ca="1">(AL13-AL15)*Предпосылки!$C$7</f>
        <v>119.74112783876572</v>
      </c>
      <c r="AM120" s="13">
        <f ca="1">(AM13-AM15)*Предпосылки!$C$7</f>
        <v>60.650677367252413</v>
      </c>
      <c r="AN120" s="13">
        <f ca="1">(AN13-AN15)*Предпосылки!$C$7</f>
        <v>61.440955693347682</v>
      </c>
      <c r="AO120" s="13">
        <f ca="1">(AO13-AO15)*Предпосылки!$C$7</f>
        <v>93.362297019048043</v>
      </c>
      <c r="AP120" s="13">
        <f ca="1">(AP13-AP15)*Предпосылки!$C$7</f>
        <v>63.052538499470899</v>
      </c>
      <c r="AQ120" s="13">
        <f ca="1">(AQ13-AQ15)*Предпосылки!$C$7</f>
        <v>63.874113076118924</v>
      </c>
      <c r="AR120" s="13">
        <f ca="1">(AR13-AR15)*Предпосылки!$C$7</f>
        <v>64.706392769500781</v>
      </c>
      <c r="AS120" s="13">
        <f ca="1">(AS13-AS15)*Предпосылки!$C$7</f>
        <v>131.09903413457479</v>
      </c>
      <c r="AT120" s="13">
        <f ca="1">(AT13-AT15)*Предпосылки!$C$7</f>
        <v>66.403627274674136</v>
      </c>
    </row>
    <row r="122" spans="2:46" x14ac:dyDescent="0.35">
      <c r="B122" t="s">
        <v>123</v>
      </c>
      <c r="C122" t="s">
        <v>14</v>
      </c>
      <c r="J122" s="30">
        <f t="shared" ref="J122:AT122" ca="1" si="41">J52-J54+J68-J70+J84-J86+J89-J91+J93-J95</f>
        <v>11.353124999999999</v>
      </c>
      <c r="K122" s="30">
        <f t="shared" ca="1" si="41"/>
        <v>11.441656249999998</v>
      </c>
      <c r="L122" s="30">
        <f t="shared" ca="1" si="41"/>
        <v>11.5310728125</v>
      </c>
      <c r="M122" s="30">
        <f t="shared" ca="1" si="41"/>
        <v>11.62138354062499</v>
      </c>
      <c r="N122" s="30">
        <f t="shared" ca="1" si="41"/>
        <v>20.925194752062499</v>
      </c>
      <c r="O122" s="30">
        <f t="shared" ca="1" si="41"/>
        <v>11.804723349791566</v>
      </c>
      <c r="P122" s="30">
        <f t="shared" ca="1" si="41"/>
        <v>11.897770583289475</v>
      </c>
      <c r="Q122" s="30">
        <f t="shared" ca="1" si="41"/>
        <v>16.737622433683558</v>
      </c>
      <c r="R122" s="30">
        <f t="shared" ca="1" si="41"/>
        <v>12.086665772013585</v>
      </c>
      <c r="S122" s="30">
        <f t="shared" ca="1" si="41"/>
        <v>12.18253242973373</v>
      </c>
      <c r="T122" s="30">
        <f t="shared" ca="1" si="41"/>
        <v>12.279357754031071</v>
      </c>
      <c r="U122" s="30">
        <f t="shared" ca="1" si="41"/>
        <v>22.254302663142742</v>
      </c>
      <c r="V122" s="30">
        <f t="shared" ca="1" si="41"/>
        <v>13.09831045584378</v>
      </c>
      <c r="W122" s="30">
        <f t="shared" ca="1" si="41"/>
        <v>13.203043560402222</v>
      </c>
      <c r="X122" s="30">
        <f t="shared" ca="1" si="41"/>
        <v>13.308823996006243</v>
      </c>
      <c r="Y122" s="30">
        <f t="shared" ca="1" si="41"/>
        <v>13.415662235966302</v>
      </c>
      <c r="Z122" s="30">
        <f t="shared" ca="1" si="41"/>
        <v>24.422137716651946</v>
      </c>
      <c r="AA122" s="30">
        <f t="shared" ca="1" si="41"/>
        <v>13.632554546909226</v>
      </c>
      <c r="AB122" s="30">
        <f t="shared" ca="1" si="41"/>
        <v>13.742630092378313</v>
      </c>
      <c r="AC122" s="30">
        <f t="shared" ca="1" si="41"/>
        <v>19.468209589953151</v>
      </c>
      <c r="AD122" s="30">
        <f t="shared" ca="1" si="41"/>
        <v>13.96609445723513</v>
      </c>
      <c r="AE122" s="30">
        <f t="shared" ca="1" si="41"/>
        <v>14.079505401807477</v>
      </c>
      <c r="AF122" s="30">
        <f t="shared" ca="1" si="41"/>
        <v>14.194050455825547</v>
      </c>
      <c r="AG122" s="30">
        <f t="shared" ca="1" si="41"/>
        <v>25.994481920767612</v>
      </c>
      <c r="AH122" s="30">
        <f t="shared" ca="1" si="41"/>
        <v>15.146330620176368</v>
      </c>
      <c r="AI122" s="30">
        <f t="shared" ca="1" si="41"/>
        <v>15.270231426378121</v>
      </c>
      <c r="AJ122" s="30">
        <f t="shared" ca="1" si="41"/>
        <v>15.395371240641904</v>
      </c>
      <c r="AK122" s="30">
        <f t="shared" ca="1" si="41"/>
        <v>15.521762453048314</v>
      </c>
      <c r="AL122" s="30">
        <f t="shared" ca="1" si="41"/>
        <v>28.542585155157632</v>
      </c>
      <c r="AM122" s="30">
        <f t="shared" ca="1" si="41"/>
        <v>15.778349253354595</v>
      </c>
      <c r="AN122" s="30">
        <f t="shared" ca="1" si="41"/>
        <v>15.908570245888139</v>
      </c>
      <c r="AO122" s="30">
        <f t="shared" ca="1" si="41"/>
        <v>22.68201517252054</v>
      </c>
      <c r="AP122" s="30">
        <f t="shared" ca="1" si="41"/>
        <v>16.17293188283049</v>
      </c>
      <c r="AQ122" s="30">
        <f t="shared" ca="1" si="41"/>
        <v>16.307098701658813</v>
      </c>
      <c r="AR122" s="30">
        <f t="shared" ca="1" si="41"/>
        <v>16.442607188675378</v>
      </c>
      <c r="AS122" s="30">
        <f t="shared" ca="1" si="41"/>
        <v>30.402691521124297</v>
      </c>
      <c r="AT122" s="30">
        <f t="shared" ca="1" si="41"/>
        <v>17.551799655596671</v>
      </c>
    </row>
    <row r="124" spans="2:46" s="17" customFormat="1" x14ac:dyDescent="0.35">
      <c r="B124" s="18" t="s">
        <v>124</v>
      </c>
      <c r="C124" s="15" t="s">
        <v>14</v>
      </c>
      <c r="D124" s="16"/>
      <c r="E124" s="16"/>
      <c r="F124" s="16"/>
      <c r="G124" s="16"/>
      <c r="H124" s="16"/>
      <c r="J124" s="17">
        <f t="shared" ref="J124:AT124" ca="1" si="42">MAX(J120-J122,0)</f>
        <v>30.313541666666659</v>
      </c>
      <c r="K124" s="17">
        <f t="shared" ca="1" si="42"/>
        <v>30.767927083333337</v>
      </c>
      <c r="L124" s="17">
        <f t="shared" ca="1" si="42"/>
        <v>31.228501391666626</v>
      </c>
      <c r="M124" s="17">
        <f t="shared" ca="1" si="42"/>
        <v>31.695347915421969</v>
      </c>
      <c r="N124" s="17">
        <f t="shared" ca="1" si="42"/>
        <v>66.837102181775904</v>
      </c>
      <c r="O124" s="17">
        <f t="shared" ca="1" si="42"/>
        <v>32.648196481651645</v>
      </c>
      <c r="P124" s="17">
        <f t="shared" ca="1" si="42"/>
        <v>33.13437079355748</v>
      </c>
      <c r="Q124" s="17">
        <f t="shared" ca="1" si="42"/>
        <v>51.69074283479722</v>
      </c>
      <c r="R124" s="17">
        <f t="shared" ca="1" si="42"/>
        <v>34.12665880660586</v>
      </c>
      <c r="S124" s="17">
        <f t="shared" ca="1" si="42"/>
        <v>34.632951768145148</v>
      </c>
      <c r="T124" s="17">
        <f t="shared" ca="1" si="42"/>
        <v>35.146132202946134</v>
      </c>
      <c r="U124" s="17">
        <f t="shared" ca="1" si="42"/>
        <v>73.832585519090443</v>
      </c>
      <c r="V124" s="17">
        <f t="shared" ca="1" si="42"/>
        <v>35.571139711780056</v>
      </c>
      <c r="W124" s="17">
        <f t="shared" ca="1" si="42"/>
        <v>36.100569542905781</v>
      </c>
      <c r="X124" s="17">
        <f t="shared" ca="1" si="42"/>
        <v>36.637215186037878</v>
      </c>
      <c r="Y124" s="17">
        <f t="shared" ca="1" si="42"/>
        <v>37.18117383661987</v>
      </c>
      <c r="Z124" s="17">
        <f t="shared" ca="1" si="42"/>
        <v>78.090087976571866</v>
      </c>
      <c r="AA124" s="17">
        <f t="shared" ca="1" si="42"/>
        <v>38.291425450094017</v>
      </c>
      <c r="AB124" s="17">
        <f t="shared" ca="1" si="42"/>
        <v>38.857919363985943</v>
      </c>
      <c r="AC124" s="17">
        <f t="shared" ca="1" si="42"/>
        <v>60.460692333717901</v>
      </c>
      <c r="AD124" s="17">
        <f t="shared" ca="1" si="42"/>
        <v>40.014155886589137</v>
      </c>
      <c r="AE124" s="17">
        <f t="shared" ca="1" si="42"/>
        <v>40.604107603996894</v>
      </c>
      <c r="AF124" s="17">
        <f t="shared" ca="1" si="42"/>
        <v>41.202090027444392</v>
      </c>
      <c r="AG124" s="17">
        <f t="shared" ca="1" si="42"/>
        <v>86.24142246676638</v>
      </c>
      <c r="AH124" s="17">
        <f t="shared" ca="1" si="42"/>
        <v>41.702838490675376</v>
      </c>
      <c r="AI124" s="17">
        <f t="shared" ca="1" si="42"/>
        <v>42.319682357988057</v>
      </c>
      <c r="AJ124" s="17">
        <f t="shared" ca="1" si="42"/>
        <v>42.944939120334496</v>
      </c>
      <c r="AK124" s="17">
        <f t="shared" ca="1" si="42"/>
        <v>43.578722151931657</v>
      </c>
      <c r="AL124" s="17">
        <f t="shared" ca="1" si="42"/>
        <v>91.198542683608082</v>
      </c>
      <c r="AM124" s="17">
        <f t="shared" ca="1" si="42"/>
        <v>44.872328113897822</v>
      </c>
      <c r="AN124" s="17">
        <f t="shared" ca="1" si="42"/>
        <v>45.532385447459546</v>
      </c>
      <c r="AO124" s="17">
        <f t="shared" ca="1" si="42"/>
        <v>70.680281846527507</v>
      </c>
      <c r="AP124" s="17">
        <f t="shared" ca="1" si="42"/>
        <v>46.879606616640409</v>
      </c>
      <c r="AQ124" s="17">
        <f t="shared" ca="1" si="42"/>
        <v>47.567014374460115</v>
      </c>
      <c r="AR124" s="17">
        <f t="shared" ca="1" si="42"/>
        <v>48.263785580825399</v>
      </c>
      <c r="AS124" s="17">
        <f t="shared" ca="1" si="42"/>
        <v>100.6963426134505</v>
      </c>
      <c r="AT124" s="17">
        <f t="shared" ca="1" si="42"/>
        <v>48.851827619077469</v>
      </c>
    </row>
    <row r="126" spans="2:46" s="1" customFormat="1" ht="15" customHeight="1" thickBot="1" x14ac:dyDescent="0.4">
      <c r="B126" s="1" t="s">
        <v>125</v>
      </c>
      <c r="C126" s="1" t="s">
        <v>14</v>
      </c>
      <c r="D126" s="2"/>
      <c r="E126" s="2"/>
      <c r="F126" s="2"/>
      <c r="G126" s="2"/>
      <c r="H126" s="2"/>
    </row>
    <row r="127" spans="2:46" x14ac:dyDescent="0.35">
      <c r="B127" t="s">
        <v>65</v>
      </c>
      <c r="D127" s="30">
        <f ca="1">Предпосылки!C106</f>
        <v>34.482758620689658</v>
      </c>
      <c r="E127" s="40">
        <f ca="1">Предпосылки!C105</f>
        <v>0.13</v>
      </c>
      <c r="F127" s="29"/>
      <c r="J127" s="30">
        <f t="shared" ref="J127:S128" ca="1" si="43">$D127</f>
        <v>34.482758620689658</v>
      </c>
      <c r="K127" s="30">
        <f t="shared" ca="1" si="43"/>
        <v>34.482758620689658</v>
      </c>
      <c r="L127" s="30">
        <f t="shared" ca="1" si="43"/>
        <v>34.482758620689658</v>
      </c>
      <c r="M127" s="30">
        <f t="shared" ca="1" si="43"/>
        <v>34.482758620689658</v>
      </c>
      <c r="N127" s="30">
        <f t="shared" ca="1" si="43"/>
        <v>34.482758620689658</v>
      </c>
      <c r="O127" s="30">
        <f t="shared" ca="1" si="43"/>
        <v>34.482758620689658</v>
      </c>
      <c r="P127" s="30">
        <f t="shared" ca="1" si="43"/>
        <v>34.482758620689658</v>
      </c>
      <c r="Q127" s="30">
        <f t="shared" ca="1" si="43"/>
        <v>34.482758620689658</v>
      </c>
      <c r="R127" s="30">
        <f t="shared" ca="1" si="43"/>
        <v>34.482758620689658</v>
      </c>
      <c r="S127" s="30">
        <f t="shared" ca="1" si="43"/>
        <v>34.482758620689658</v>
      </c>
      <c r="T127" s="30">
        <f t="shared" ref="T127:AC128" ca="1" si="44">$D127</f>
        <v>34.482758620689658</v>
      </c>
      <c r="U127" s="30">
        <f t="shared" ca="1" si="44"/>
        <v>34.482758620689658</v>
      </c>
      <c r="V127" s="30">
        <f t="shared" ca="1" si="44"/>
        <v>34.482758620689658</v>
      </c>
      <c r="W127" s="30">
        <f t="shared" ca="1" si="44"/>
        <v>34.482758620689658</v>
      </c>
      <c r="X127" s="30">
        <f t="shared" ca="1" si="44"/>
        <v>34.482758620689658</v>
      </c>
      <c r="Y127" s="30">
        <f t="shared" ca="1" si="44"/>
        <v>34.482758620689658</v>
      </c>
      <c r="Z127" s="30">
        <f t="shared" ca="1" si="44"/>
        <v>34.482758620689658</v>
      </c>
      <c r="AA127" s="30">
        <f t="shared" ca="1" si="44"/>
        <v>34.482758620689658</v>
      </c>
      <c r="AB127" s="30">
        <f t="shared" ca="1" si="44"/>
        <v>34.482758620689658</v>
      </c>
      <c r="AC127" s="30">
        <f t="shared" ca="1" si="44"/>
        <v>34.482758620689658</v>
      </c>
      <c r="AD127" s="30">
        <f t="shared" ref="AD127:AM128" ca="1" si="45">$D127</f>
        <v>34.482758620689658</v>
      </c>
      <c r="AE127" s="30">
        <f t="shared" ca="1" si="45"/>
        <v>34.482758620689658</v>
      </c>
      <c r="AF127" s="30">
        <f t="shared" ca="1" si="45"/>
        <v>34.482758620689658</v>
      </c>
      <c r="AG127" s="30">
        <f t="shared" ca="1" si="45"/>
        <v>34.482758620689658</v>
      </c>
      <c r="AH127" s="30">
        <f t="shared" ca="1" si="45"/>
        <v>34.482758620689658</v>
      </c>
      <c r="AI127" s="30">
        <f t="shared" ca="1" si="45"/>
        <v>34.482758620689658</v>
      </c>
      <c r="AJ127" s="30">
        <f t="shared" ca="1" si="45"/>
        <v>34.482758620689658</v>
      </c>
      <c r="AK127" s="30">
        <f t="shared" ca="1" si="45"/>
        <v>34.482758620689658</v>
      </c>
      <c r="AL127" s="30">
        <f t="shared" ca="1" si="45"/>
        <v>34.482758620689658</v>
      </c>
      <c r="AM127" s="30">
        <f t="shared" ca="1" si="45"/>
        <v>34.482758620689658</v>
      </c>
      <c r="AN127" s="30">
        <f t="shared" ref="AN127:AT128" ca="1" si="46">$D127</f>
        <v>34.482758620689658</v>
      </c>
      <c r="AO127" s="30">
        <f t="shared" ca="1" si="46"/>
        <v>34.482758620689658</v>
      </c>
      <c r="AP127" s="30">
        <f t="shared" ca="1" si="46"/>
        <v>34.482758620689658</v>
      </c>
      <c r="AQ127" s="30">
        <f t="shared" ca="1" si="46"/>
        <v>34.482758620689658</v>
      </c>
      <c r="AR127" s="30">
        <f t="shared" ca="1" si="46"/>
        <v>34.482758620689658</v>
      </c>
      <c r="AS127" s="30">
        <f t="shared" ca="1" si="46"/>
        <v>34.482758620689658</v>
      </c>
      <c r="AT127" s="30">
        <f t="shared" ca="1" si="46"/>
        <v>34.482758620689658</v>
      </c>
    </row>
    <row r="128" spans="2:46" x14ac:dyDescent="0.35">
      <c r="B128" t="s">
        <v>66</v>
      </c>
      <c r="D128" s="30">
        <f ca="1">Предпосылки!C107</f>
        <v>45.977011494252871</v>
      </c>
      <c r="E128" s="40">
        <f ca="1">Предпосылки!C105</f>
        <v>0.13</v>
      </c>
      <c r="F128" s="29"/>
      <c r="J128" s="30">
        <f t="shared" ca="1" si="43"/>
        <v>45.977011494252871</v>
      </c>
      <c r="K128" s="30">
        <f t="shared" ca="1" si="43"/>
        <v>45.977011494252871</v>
      </c>
      <c r="L128" s="30">
        <f t="shared" ca="1" si="43"/>
        <v>45.977011494252871</v>
      </c>
      <c r="M128" s="30">
        <f t="shared" ca="1" si="43"/>
        <v>45.977011494252871</v>
      </c>
      <c r="N128" s="30">
        <f t="shared" ca="1" si="43"/>
        <v>45.977011494252871</v>
      </c>
      <c r="O128" s="30">
        <f t="shared" ca="1" si="43"/>
        <v>45.977011494252871</v>
      </c>
      <c r="P128" s="30">
        <f t="shared" ca="1" si="43"/>
        <v>45.977011494252871</v>
      </c>
      <c r="Q128" s="30">
        <f t="shared" ca="1" si="43"/>
        <v>45.977011494252871</v>
      </c>
      <c r="R128" s="30">
        <f t="shared" ca="1" si="43"/>
        <v>45.977011494252871</v>
      </c>
      <c r="S128" s="30">
        <f t="shared" ca="1" si="43"/>
        <v>45.977011494252871</v>
      </c>
      <c r="T128" s="30">
        <f t="shared" ca="1" si="44"/>
        <v>45.977011494252871</v>
      </c>
      <c r="U128" s="30">
        <f t="shared" ca="1" si="44"/>
        <v>45.977011494252871</v>
      </c>
      <c r="V128" s="30">
        <f t="shared" ca="1" si="44"/>
        <v>45.977011494252871</v>
      </c>
      <c r="W128" s="30">
        <f t="shared" ca="1" si="44"/>
        <v>45.977011494252871</v>
      </c>
      <c r="X128" s="30">
        <f t="shared" ca="1" si="44"/>
        <v>45.977011494252871</v>
      </c>
      <c r="Y128" s="30">
        <f t="shared" ca="1" si="44"/>
        <v>45.977011494252871</v>
      </c>
      <c r="Z128" s="30">
        <f t="shared" ca="1" si="44"/>
        <v>45.977011494252871</v>
      </c>
      <c r="AA128" s="30">
        <f t="shared" ca="1" si="44"/>
        <v>45.977011494252871</v>
      </c>
      <c r="AB128" s="30">
        <f t="shared" ca="1" si="44"/>
        <v>45.977011494252871</v>
      </c>
      <c r="AC128" s="30">
        <f t="shared" ca="1" si="44"/>
        <v>45.977011494252871</v>
      </c>
      <c r="AD128" s="30">
        <f t="shared" ca="1" si="45"/>
        <v>45.977011494252871</v>
      </c>
      <c r="AE128" s="30">
        <f t="shared" ca="1" si="45"/>
        <v>45.977011494252871</v>
      </c>
      <c r="AF128" s="30">
        <f t="shared" ca="1" si="45"/>
        <v>45.977011494252871</v>
      </c>
      <c r="AG128" s="30">
        <f t="shared" ca="1" si="45"/>
        <v>45.977011494252871</v>
      </c>
      <c r="AH128" s="30">
        <f t="shared" ca="1" si="45"/>
        <v>45.977011494252871</v>
      </c>
      <c r="AI128" s="30">
        <f t="shared" ca="1" si="45"/>
        <v>45.977011494252871</v>
      </c>
      <c r="AJ128" s="30">
        <f t="shared" ca="1" si="45"/>
        <v>45.977011494252871</v>
      </c>
      <c r="AK128" s="30">
        <f t="shared" ca="1" si="45"/>
        <v>45.977011494252871</v>
      </c>
      <c r="AL128" s="30">
        <f t="shared" ca="1" si="45"/>
        <v>45.977011494252871</v>
      </c>
      <c r="AM128" s="30">
        <f t="shared" ca="1" si="45"/>
        <v>45.977011494252871</v>
      </c>
      <c r="AN128" s="30">
        <f t="shared" ca="1" si="46"/>
        <v>45.977011494252871</v>
      </c>
      <c r="AO128" s="30">
        <f t="shared" ca="1" si="46"/>
        <v>45.977011494252871</v>
      </c>
      <c r="AP128" s="30">
        <f t="shared" ca="1" si="46"/>
        <v>45.977011494252871</v>
      </c>
      <c r="AQ128" s="30">
        <f t="shared" ca="1" si="46"/>
        <v>45.977011494252871</v>
      </c>
      <c r="AR128" s="30">
        <f t="shared" ca="1" si="46"/>
        <v>45.977011494252871</v>
      </c>
      <c r="AS128" s="30">
        <f t="shared" ca="1" si="46"/>
        <v>45.977011494252871</v>
      </c>
      <c r="AT128" s="30">
        <f t="shared" ca="1" si="46"/>
        <v>45.977011494252871</v>
      </c>
    </row>
    <row r="129" spans="2:46" s="26" customFormat="1" x14ac:dyDescent="0.35">
      <c r="B129" s="26" t="s">
        <v>126</v>
      </c>
      <c r="J129" s="27">
        <f t="shared" ref="J129:AT129" ca="1" si="47">J127+J128</f>
        <v>80.459770114942529</v>
      </c>
      <c r="K129" s="27">
        <f t="shared" ca="1" si="47"/>
        <v>80.459770114942529</v>
      </c>
      <c r="L129" s="27">
        <f t="shared" ca="1" si="47"/>
        <v>80.459770114942529</v>
      </c>
      <c r="M129" s="27">
        <f t="shared" ca="1" si="47"/>
        <v>80.459770114942529</v>
      </c>
      <c r="N129" s="27">
        <f t="shared" ca="1" si="47"/>
        <v>80.459770114942529</v>
      </c>
      <c r="O129" s="27">
        <f t="shared" ca="1" si="47"/>
        <v>80.459770114942529</v>
      </c>
      <c r="P129" s="27">
        <f t="shared" ca="1" si="47"/>
        <v>80.459770114942529</v>
      </c>
      <c r="Q129" s="27">
        <f t="shared" ca="1" si="47"/>
        <v>80.459770114942529</v>
      </c>
      <c r="R129" s="27">
        <f t="shared" ca="1" si="47"/>
        <v>80.459770114942529</v>
      </c>
      <c r="S129" s="27">
        <f t="shared" ca="1" si="47"/>
        <v>80.459770114942529</v>
      </c>
      <c r="T129" s="27">
        <f t="shared" ca="1" si="47"/>
        <v>80.459770114942529</v>
      </c>
      <c r="U129" s="27">
        <f t="shared" ca="1" si="47"/>
        <v>80.459770114942529</v>
      </c>
      <c r="V129" s="27">
        <f t="shared" ca="1" si="47"/>
        <v>80.459770114942529</v>
      </c>
      <c r="W129" s="27">
        <f t="shared" ca="1" si="47"/>
        <v>80.459770114942529</v>
      </c>
      <c r="X129" s="27">
        <f t="shared" ca="1" si="47"/>
        <v>80.459770114942529</v>
      </c>
      <c r="Y129" s="27">
        <f t="shared" ca="1" si="47"/>
        <v>80.459770114942529</v>
      </c>
      <c r="Z129" s="27">
        <f t="shared" ca="1" si="47"/>
        <v>80.459770114942529</v>
      </c>
      <c r="AA129" s="27">
        <f t="shared" ca="1" si="47"/>
        <v>80.459770114942529</v>
      </c>
      <c r="AB129" s="27">
        <f t="shared" ca="1" si="47"/>
        <v>80.459770114942529</v>
      </c>
      <c r="AC129" s="27">
        <f t="shared" ca="1" si="47"/>
        <v>80.459770114942529</v>
      </c>
      <c r="AD129" s="27">
        <f t="shared" ca="1" si="47"/>
        <v>80.459770114942529</v>
      </c>
      <c r="AE129" s="27">
        <f t="shared" ca="1" si="47"/>
        <v>80.459770114942529</v>
      </c>
      <c r="AF129" s="27">
        <f t="shared" ca="1" si="47"/>
        <v>80.459770114942529</v>
      </c>
      <c r="AG129" s="27">
        <f t="shared" ca="1" si="47"/>
        <v>80.459770114942529</v>
      </c>
      <c r="AH129" s="27">
        <f t="shared" ca="1" si="47"/>
        <v>80.459770114942529</v>
      </c>
      <c r="AI129" s="27">
        <f t="shared" ca="1" si="47"/>
        <v>80.459770114942529</v>
      </c>
      <c r="AJ129" s="27">
        <f t="shared" ca="1" si="47"/>
        <v>80.459770114942529</v>
      </c>
      <c r="AK129" s="27">
        <f t="shared" ca="1" si="47"/>
        <v>80.459770114942529</v>
      </c>
      <c r="AL129" s="27">
        <f t="shared" ca="1" si="47"/>
        <v>80.459770114942529</v>
      </c>
      <c r="AM129" s="27">
        <f t="shared" ca="1" si="47"/>
        <v>80.459770114942529</v>
      </c>
      <c r="AN129" s="27">
        <f t="shared" ca="1" si="47"/>
        <v>80.459770114942529</v>
      </c>
      <c r="AO129" s="27">
        <f t="shared" ca="1" si="47"/>
        <v>80.459770114942529</v>
      </c>
      <c r="AP129" s="27">
        <f t="shared" ca="1" si="47"/>
        <v>80.459770114942529</v>
      </c>
      <c r="AQ129" s="27">
        <f t="shared" ca="1" si="47"/>
        <v>80.459770114942529</v>
      </c>
      <c r="AR129" s="27">
        <f t="shared" ca="1" si="47"/>
        <v>80.459770114942529</v>
      </c>
      <c r="AS129" s="27">
        <f t="shared" ca="1" si="47"/>
        <v>80.459770114942529</v>
      </c>
      <c r="AT129" s="27">
        <f t="shared" ca="1" si="47"/>
        <v>80.459770114942529</v>
      </c>
    </row>
    <row r="131" spans="2:46" s="1" customFormat="1" ht="15" customHeight="1" thickBot="1" x14ac:dyDescent="0.4">
      <c r="B131" s="1" t="s">
        <v>127</v>
      </c>
      <c r="C131" s="1" t="s">
        <v>14</v>
      </c>
      <c r="D131" s="2"/>
      <c r="E131" s="2"/>
      <c r="F131" s="2"/>
      <c r="G131" s="2"/>
      <c r="H131" s="2"/>
    </row>
    <row r="132" spans="2:46" x14ac:dyDescent="0.35">
      <c r="B132" t="str">
        <f>B127</f>
        <v>Телефонный оператор</v>
      </c>
      <c r="D132" s="30">
        <f ca="1">D127*12</f>
        <v>413.79310344827593</v>
      </c>
      <c r="E132" s="32">
        <f ca="1">(13%*MIN(D132,5000)+15%*MAX(D132-5000,0))/D132</f>
        <v>0.13</v>
      </c>
      <c r="J132" s="30">
        <f t="shared" ref="J132:AT132" ca="1" si="48">J127*$E132</f>
        <v>4.4827586206896557</v>
      </c>
      <c r="K132" s="30">
        <f t="shared" ca="1" si="48"/>
        <v>4.4827586206896557</v>
      </c>
      <c r="L132" s="30">
        <f t="shared" ca="1" si="48"/>
        <v>4.4827586206896557</v>
      </c>
      <c r="M132" s="30">
        <f t="shared" ca="1" si="48"/>
        <v>4.4827586206896557</v>
      </c>
      <c r="N132" s="30">
        <f t="shared" ca="1" si="48"/>
        <v>4.4827586206896557</v>
      </c>
      <c r="O132" s="30">
        <f t="shared" ca="1" si="48"/>
        <v>4.4827586206896557</v>
      </c>
      <c r="P132" s="30">
        <f t="shared" ca="1" si="48"/>
        <v>4.4827586206896557</v>
      </c>
      <c r="Q132" s="30">
        <f t="shared" ca="1" si="48"/>
        <v>4.4827586206896557</v>
      </c>
      <c r="R132" s="30">
        <f t="shared" ca="1" si="48"/>
        <v>4.4827586206896557</v>
      </c>
      <c r="S132" s="30">
        <f t="shared" ca="1" si="48"/>
        <v>4.4827586206896557</v>
      </c>
      <c r="T132" s="30">
        <f t="shared" ca="1" si="48"/>
        <v>4.4827586206896557</v>
      </c>
      <c r="U132" s="30">
        <f t="shared" ca="1" si="48"/>
        <v>4.4827586206896557</v>
      </c>
      <c r="V132" s="30">
        <f t="shared" ca="1" si="48"/>
        <v>4.4827586206896557</v>
      </c>
      <c r="W132" s="30">
        <f t="shared" ca="1" si="48"/>
        <v>4.4827586206896557</v>
      </c>
      <c r="X132" s="30">
        <f t="shared" ca="1" si="48"/>
        <v>4.4827586206896557</v>
      </c>
      <c r="Y132" s="30">
        <f t="shared" ca="1" si="48"/>
        <v>4.4827586206896557</v>
      </c>
      <c r="Z132" s="30">
        <f t="shared" ca="1" si="48"/>
        <v>4.4827586206896557</v>
      </c>
      <c r="AA132" s="30">
        <f t="shared" ca="1" si="48"/>
        <v>4.4827586206896557</v>
      </c>
      <c r="AB132" s="30">
        <f t="shared" ca="1" si="48"/>
        <v>4.4827586206896557</v>
      </c>
      <c r="AC132" s="30">
        <f t="shared" ca="1" si="48"/>
        <v>4.4827586206896557</v>
      </c>
      <c r="AD132" s="30">
        <f t="shared" ca="1" si="48"/>
        <v>4.4827586206896557</v>
      </c>
      <c r="AE132" s="30">
        <f t="shared" ca="1" si="48"/>
        <v>4.4827586206896557</v>
      </c>
      <c r="AF132" s="30">
        <f t="shared" ca="1" si="48"/>
        <v>4.4827586206896557</v>
      </c>
      <c r="AG132" s="30">
        <f t="shared" ca="1" si="48"/>
        <v>4.4827586206896557</v>
      </c>
      <c r="AH132" s="30">
        <f t="shared" ca="1" si="48"/>
        <v>4.4827586206896557</v>
      </c>
      <c r="AI132" s="30">
        <f t="shared" ca="1" si="48"/>
        <v>4.4827586206896557</v>
      </c>
      <c r="AJ132" s="30">
        <f t="shared" ca="1" si="48"/>
        <v>4.4827586206896557</v>
      </c>
      <c r="AK132" s="30">
        <f t="shared" ca="1" si="48"/>
        <v>4.4827586206896557</v>
      </c>
      <c r="AL132" s="30">
        <f t="shared" ca="1" si="48"/>
        <v>4.4827586206896557</v>
      </c>
      <c r="AM132" s="30">
        <f t="shared" ca="1" si="48"/>
        <v>4.4827586206896557</v>
      </c>
      <c r="AN132" s="30">
        <f t="shared" ca="1" si="48"/>
        <v>4.4827586206896557</v>
      </c>
      <c r="AO132" s="30">
        <f t="shared" ca="1" si="48"/>
        <v>4.4827586206896557</v>
      </c>
      <c r="AP132" s="30">
        <f t="shared" ca="1" si="48"/>
        <v>4.4827586206896557</v>
      </c>
      <c r="AQ132" s="30">
        <f t="shared" ca="1" si="48"/>
        <v>4.4827586206896557</v>
      </c>
      <c r="AR132" s="30">
        <f t="shared" ca="1" si="48"/>
        <v>4.4827586206896557</v>
      </c>
      <c r="AS132" s="30">
        <f t="shared" ca="1" si="48"/>
        <v>4.4827586206896557</v>
      </c>
      <c r="AT132" s="30">
        <f t="shared" ca="1" si="48"/>
        <v>4.4827586206896557</v>
      </c>
    </row>
    <row r="133" spans="2:46" x14ac:dyDescent="0.35">
      <c r="B133" t="str">
        <f>B128</f>
        <v>Продавец</v>
      </c>
      <c r="D133" s="30">
        <f ca="1">D128*12</f>
        <v>551.72413793103442</v>
      </c>
      <c r="E133" s="32">
        <f ca="1">(13%*MIN(D133,5000)+15%*MAX(D133-5000,0))/D133</f>
        <v>0.13</v>
      </c>
      <c r="J133" s="30">
        <f t="shared" ref="J133:AT133" ca="1" si="49">J128*$E133</f>
        <v>5.9770114942528734</v>
      </c>
      <c r="K133" s="30">
        <f t="shared" ca="1" si="49"/>
        <v>5.9770114942528734</v>
      </c>
      <c r="L133" s="30">
        <f t="shared" ca="1" si="49"/>
        <v>5.9770114942528734</v>
      </c>
      <c r="M133" s="30">
        <f t="shared" ca="1" si="49"/>
        <v>5.9770114942528734</v>
      </c>
      <c r="N133" s="30">
        <f t="shared" ca="1" si="49"/>
        <v>5.9770114942528734</v>
      </c>
      <c r="O133" s="30">
        <f t="shared" ca="1" si="49"/>
        <v>5.9770114942528734</v>
      </c>
      <c r="P133" s="30">
        <f t="shared" ca="1" si="49"/>
        <v>5.9770114942528734</v>
      </c>
      <c r="Q133" s="30">
        <f t="shared" ca="1" si="49"/>
        <v>5.9770114942528734</v>
      </c>
      <c r="R133" s="30">
        <f t="shared" ca="1" si="49"/>
        <v>5.9770114942528734</v>
      </c>
      <c r="S133" s="30">
        <f t="shared" ca="1" si="49"/>
        <v>5.9770114942528734</v>
      </c>
      <c r="T133" s="30">
        <f t="shared" ca="1" si="49"/>
        <v>5.9770114942528734</v>
      </c>
      <c r="U133" s="30">
        <f t="shared" ca="1" si="49"/>
        <v>5.9770114942528734</v>
      </c>
      <c r="V133" s="30">
        <f t="shared" ca="1" si="49"/>
        <v>5.9770114942528734</v>
      </c>
      <c r="W133" s="30">
        <f t="shared" ca="1" si="49"/>
        <v>5.9770114942528734</v>
      </c>
      <c r="X133" s="30">
        <f t="shared" ca="1" si="49"/>
        <v>5.9770114942528734</v>
      </c>
      <c r="Y133" s="30">
        <f t="shared" ca="1" si="49"/>
        <v>5.9770114942528734</v>
      </c>
      <c r="Z133" s="30">
        <f t="shared" ca="1" si="49"/>
        <v>5.9770114942528734</v>
      </c>
      <c r="AA133" s="30">
        <f t="shared" ca="1" si="49"/>
        <v>5.9770114942528734</v>
      </c>
      <c r="AB133" s="30">
        <f t="shared" ca="1" si="49"/>
        <v>5.9770114942528734</v>
      </c>
      <c r="AC133" s="30">
        <f t="shared" ca="1" si="49"/>
        <v>5.9770114942528734</v>
      </c>
      <c r="AD133" s="30">
        <f t="shared" ca="1" si="49"/>
        <v>5.9770114942528734</v>
      </c>
      <c r="AE133" s="30">
        <f t="shared" ca="1" si="49"/>
        <v>5.9770114942528734</v>
      </c>
      <c r="AF133" s="30">
        <f t="shared" ca="1" si="49"/>
        <v>5.9770114942528734</v>
      </c>
      <c r="AG133" s="30">
        <f t="shared" ca="1" si="49"/>
        <v>5.9770114942528734</v>
      </c>
      <c r="AH133" s="30">
        <f t="shared" ca="1" si="49"/>
        <v>5.9770114942528734</v>
      </c>
      <c r="AI133" s="30">
        <f t="shared" ca="1" si="49"/>
        <v>5.9770114942528734</v>
      </c>
      <c r="AJ133" s="30">
        <f t="shared" ca="1" si="49"/>
        <v>5.9770114942528734</v>
      </c>
      <c r="AK133" s="30">
        <f t="shared" ca="1" si="49"/>
        <v>5.9770114942528734</v>
      </c>
      <c r="AL133" s="30">
        <f t="shared" ca="1" si="49"/>
        <v>5.9770114942528734</v>
      </c>
      <c r="AM133" s="30">
        <f t="shared" ca="1" si="49"/>
        <v>5.9770114942528734</v>
      </c>
      <c r="AN133" s="30">
        <f t="shared" ca="1" si="49"/>
        <v>5.9770114942528734</v>
      </c>
      <c r="AO133" s="30">
        <f t="shared" ca="1" si="49"/>
        <v>5.9770114942528734</v>
      </c>
      <c r="AP133" s="30">
        <f t="shared" ca="1" si="49"/>
        <v>5.9770114942528734</v>
      </c>
      <c r="AQ133" s="30">
        <f t="shared" ca="1" si="49"/>
        <v>5.9770114942528734</v>
      </c>
      <c r="AR133" s="30">
        <f t="shared" ca="1" si="49"/>
        <v>5.9770114942528734</v>
      </c>
      <c r="AS133" s="30">
        <f t="shared" ca="1" si="49"/>
        <v>5.9770114942528734</v>
      </c>
      <c r="AT133" s="30">
        <f t="shared" ca="1" si="49"/>
        <v>5.9770114942528734</v>
      </c>
    </row>
    <row r="134" spans="2:46" s="26" customFormat="1" x14ac:dyDescent="0.35">
      <c r="B134" s="26" t="s">
        <v>128</v>
      </c>
      <c r="J134" s="27">
        <f t="shared" ref="J134:AT134" ca="1" si="50">SUM(J132:J133)</f>
        <v>10.459770114942529</v>
      </c>
      <c r="K134" s="27">
        <f t="shared" ca="1" si="50"/>
        <v>10.459770114942529</v>
      </c>
      <c r="L134" s="27">
        <f t="shared" ca="1" si="50"/>
        <v>10.459770114942529</v>
      </c>
      <c r="M134" s="27">
        <f t="shared" ca="1" si="50"/>
        <v>10.459770114942529</v>
      </c>
      <c r="N134" s="27">
        <f t="shared" ca="1" si="50"/>
        <v>10.459770114942529</v>
      </c>
      <c r="O134" s="27">
        <f t="shared" ca="1" si="50"/>
        <v>10.459770114942529</v>
      </c>
      <c r="P134" s="27">
        <f t="shared" ca="1" si="50"/>
        <v>10.459770114942529</v>
      </c>
      <c r="Q134" s="27">
        <f t="shared" ca="1" si="50"/>
        <v>10.459770114942529</v>
      </c>
      <c r="R134" s="27">
        <f t="shared" ca="1" si="50"/>
        <v>10.459770114942529</v>
      </c>
      <c r="S134" s="27">
        <f t="shared" ca="1" si="50"/>
        <v>10.459770114942529</v>
      </c>
      <c r="T134" s="27">
        <f t="shared" ca="1" si="50"/>
        <v>10.459770114942529</v>
      </c>
      <c r="U134" s="27">
        <f t="shared" ca="1" si="50"/>
        <v>10.459770114942529</v>
      </c>
      <c r="V134" s="27">
        <f t="shared" ca="1" si="50"/>
        <v>10.459770114942529</v>
      </c>
      <c r="W134" s="27">
        <f t="shared" ca="1" si="50"/>
        <v>10.459770114942529</v>
      </c>
      <c r="X134" s="27">
        <f t="shared" ca="1" si="50"/>
        <v>10.459770114942529</v>
      </c>
      <c r="Y134" s="27">
        <f t="shared" ca="1" si="50"/>
        <v>10.459770114942529</v>
      </c>
      <c r="Z134" s="27">
        <f t="shared" ca="1" si="50"/>
        <v>10.459770114942529</v>
      </c>
      <c r="AA134" s="27">
        <f t="shared" ca="1" si="50"/>
        <v>10.459770114942529</v>
      </c>
      <c r="AB134" s="27">
        <f t="shared" ca="1" si="50"/>
        <v>10.459770114942529</v>
      </c>
      <c r="AC134" s="27">
        <f t="shared" ca="1" si="50"/>
        <v>10.459770114942529</v>
      </c>
      <c r="AD134" s="27">
        <f t="shared" ca="1" si="50"/>
        <v>10.459770114942529</v>
      </c>
      <c r="AE134" s="27">
        <f t="shared" ca="1" si="50"/>
        <v>10.459770114942529</v>
      </c>
      <c r="AF134" s="27">
        <f t="shared" ca="1" si="50"/>
        <v>10.459770114942529</v>
      </c>
      <c r="AG134" s="27">
        <f t="shared" ca="1" si="50"/>
        <v>10.459770114942529</v>
      </c>
      <c r="AH134" s="27">
        <f t="shared" ca="1" si="50"/>
        <v>10.459770114942529</v>
      </c>
      <c r="AI134" s="27">
        <f t="shared" ca="1" si="50"/>
        <v>10.459770114942529</v>
      </c>
      <c r="AJ134" s="27">
        <f t="shared" ca="1" si="50"/>
        <v>10.459770114942529</v>
      </c>
      <c r="AK134" s="27">
        <f t="shared" ca="1" si="50"/>
        <v>10.459770114942529</v>
      </c>
      <c r="AL134" s="27">
        <f t="shared" ca="1" si="50"/>
        <v>10.459770114942529</v>
      </c>
      <c r="AM134" s="27">
        <f t="shared" ca="1" si="50"/>
        <v>10.459770114942529</v>
      </c>
      <c r="AN134" s="27">
        <f t="shared" ca="1" si="50"/>
        <v>10.459770114942529</v>
      </c>
      <c r="AO134" s="27">
        <f t="shared" ca="1" si="50"/>
        <v>10.459770114942529</v>
      </c>
      <c r="AP134" s="27">
        <f t="shared" ca="1" si="50"/>
        <v>10.459770114942529</v>
      </c>
      <c r="AQ134" s="27">
        <f t="shared" ca="1" si="50"/>
        <v>10.459770114942529</v>
      </c>
      <c r="AR134" s="27">
        <f t="shared" ca="1" si="50"/>
        <v>10.459770114942529</v>
      </c>
      <c r="AS134" s="27">
        <f t="shared" ca="1" si="50"/>
        <v>10.459770114942529</v>
      </c>
      <c r="AT134" s="27">
        <f t="shared" ca="1" si="50"/>
        <v>10.459770114942529</v>
      </c>
    </row>
    <row r="136" spans="2:46" s="1" customFormat="1" ht="15" customHeight="1" thickBot="1" x14ac:dyDescent="0.4">
      <c r="B136" s="1" t="s">
        <v>129</v>
      </c>
      <c r="C136" s="1" t="s">
        <v>14</v>
      </c>
      <c r="D136" s="2"/>
      <c r="E136" s="2"/>
      <c r="F136" s="2"/>
      <c r="G136" s="2"/>
      <c r="H136" s="2"/>
    </row>
    <row r="137" spans="2:46" x14ac:dyDescent="0.35">
      <c r="B137" t="s">
        <v>65</v>
      </c>
      <c r="J137" s="30">
        <f t="shared" ref="J137:AT137" ca="1" si="51">J127-J132</f>
        <v>30.000000000000004</v>
      </c>
      <c r="K137" s="30">
        <f t="shared" ca="1" si="51"/>
        <v>30.000000000000004</v>
      </c>
      <c r="L137" s="30">
        <f t="shared" ca="1" si="51"/>
        <v>30.000000000000004</v>
      </c>
      <c r="M137" s="30">
        <f t="shared" ca="1" si="51"/>
        <v>30.000000000000004</v>
      </c>
      <c r="N137" s="30">
        <f t="shared" ca="1" si="51"/>
        <v>30.000000000000004</v>
      </c>
      <c r="O137" s="30">
        <f t="shared" ca="1" si="51"/>
        <v>30.000000000000004</v>
      </c>
      <c r="P137" s="30">
        <f t="shared" ca="1" si="51"/>
        <v>30.000000000000004</v>
      </c>
      <c r="Q137" s="30">
        <f t="shared" ca="1" si="51"/>
        <v>30.000000000000004</v>
      </c>
      <c r="R137" s="30">
        <f t="shared" ca="1" si="51"/>
        <v>30.000000000000004</v>
      </c>
      <c r="S137" s="30">
        <f t="shared" ca="1" si="51"/>
        <v>30.000000000000004</v>
      </c>
      <c r="T137" s="30">
        <f t="shared" ca="1" si="51"/>
        <v>30.000000000000004</v>
      </c>
      <c r="U137" s="30">
        <f t="shared" ca="1" si="51"/>
        <v>30.000000000000004</v>
      </c>
      <c r="V137" s="30">
        <f t="shared" ca="1" si="51"/>
        <v>30.000000000000004</v>
      </c>
      <c r="W137" s="30">
        <f t="shared" ca="1" si="51"/>
        <v>30.000000000000004</v>
      </c>
      <c r="X137" s="30">
        <f t="shared" ca="1" si="51"/>
        <v>30.000000000000004</v>
      </c>
      <c r="Y137" s="30">
        <f t="shared" ca="1" si="51"/>
        <v>30.000000000000004</v>
      </c>
      <c r="Z137" s="30">
        <f t="shared" ca="1" si="51"/>
        <v>30.000000000000004</v>
      </c>
      <c r="AA137" s="30">
        <f t="shared" ca="1" si="51"/>
        <v>30.000000000000004</v>
      </c>
      <c r="AB137" s="30">
        <f t="shared" ca="1" si="51"/>
        <v>30.000000000000004</v>
      </c>
      <c r="AC137" s="30">
        <f t="shared" ca="1" si="51"/>
        <v>30.000000000000004</v>
      </c>
      <c r="AD137" s="30">
        <f t="shared" ca="1" si="51"/>
        <v>30.000000000000004</v>
      </c>
      <c r="AE137" s="30">
        <f t="shared" ca="1" si="51"/>
        <v>30.000000000000004</v>
      </c>
      <c r="AF137" s="30">
        <f t="shared" ca="1" si="51"/>
        <v>30.000000000000004</v>
      </c>
      <c r="AG137" s="30">
        <f t="shared" ca="1" si="51"/>
        <v>30.000000000000004</v>
      </c>
      <c r="AH137" s="30">
        <f t="shared" ca="1" si="51"/>
        <v>30.000000000000004</v>
      </c>
      <c r="AI137" s="30">
        <f t="shared" ca="1" si="51"/>
        <v>30.000000000000004</v>
      </c>
      <c r="AJ137" s="30">
        <f t="shared" ca="1" si="51"/>
        <v>30.000000000000004</v>
      </c>
      <c r="AK137" s="30">
        <f t="shared" ca="1" si="51"/>
        <v>30.000000000000004</v>
      </c>
      <c r="AL137" s="30">
        <f t="shared" ca="1" si="51"/>
        <v>30.000000000000004</v>
      </c>
      <c r="AM137" s="30">
        <f t="shared" ca="1" si="51"/>
        <v>30.000000000000004</v>
      </c>
      <c r="AN137" s="30">
        <f t="shared" ca="1" si="51"/>
        <v>30.000000000000004</v>
      </c>
      <c r="AO137" s="30">
        <f t="shared" ca="1" si="51"/>
        <v>30.000000000000004</v>
      </c>
      <c r="AP137" s="30">
        <f t="shared" ca="1" si="51"/>
        <v>30.000000000000004</v>
      </c>
      <c r="AQ137" s="30">
        <f t="shared" ca="1" si="51"/>
        <v>30.000000000000004</v>
      </c>
      <c r="AR137" s="30">
        <f t="shared" ca="1" si="51"/>
        <v>30.000000000000004</v>
      </c>
      <c r="AS137" s="30">
        <f t="shared" ca="1" si="51"/>
        <v>30.000000000000004</v>
      </c>
      <c r="AT137" s="30">
        <f t="shared" ca="1" si="51"/>
        <v>30.000000000000004</v>
      </c>
    </row>
    <row r="138" spans="2:46" x14ac:dyDescent="0.35">
      <c r="B138" t="s">
        <v>66</v>
      </c>
      <c r="J138" s="30">
        <f t="shared" ref="J138:AT138" ca="1" si="52">J128-J133</f>
        <v>40</v>
      </c>
      <c r="K138" s="30">
        <f t="shared" ca="1" si="52"/>
        <v>40</v>
      </c>
      <c r="L138" s="30">
        <f t="shared" ca="1" si="52"/>
        <v>40</v>
      </c>
      <c r="M138" s="30">
        <f t="shared" ca="1" si="52"/>
        <v>40</v>
      </c>
      <c r="N138" s="30">
        <f t="shared" ca="1" si="52"/>
        <v>40</v>
      </c>
      <c r="O138" s="30">
        <f t="shared" ca="1" si="52"/>
        <v>40</v>
      </c>
      <c r="P138" s="30">
        <f t="shared" ca="1" si="52"/>
        <v>40</v>
      </c>
      <c r="Q138" s="30">
        <f t="shared" ca="1" si="52"/>
        <v>40</v>
      </c>
      <c r="R138" s="30">
        <f t="shared" ca="1" si="52"/>
        <v>40</v>
      </c>
      <c r="S138" s="30">
        <f t="shared" ca="1" si="52"/>
        <v>40</v>
      </c>
      <c r="T138" s="30">
        <f t="shared" ca="1" si="52"/>
        <v>40</v>
      </c>
      <c r="U138" s="30">
        <f t="shared" ca="1" si="52"/>
        <v>40</v>
      </c>
      <c r="V138" s="30">
        <f t="shared" ca="1" si="52"/>
        <v>40</v>
      </c>
      <c r="W138" s="30">
        <f t="shared" ca="1" si="52"/>
        <v>40</v>
      </c>
      <c r="X138" s="30">
        <f t="shared" ca="1" si="52"/>
        <v>40</v>
      </c>
      <c r="Y138" s="30">
        <f t="shared" ca="1" si="52"/>
        <v>40</v>
      </c>
      <c r="Z138" s="30">
        <f t="shared" ca="1" si="52"/>
        <v>40</v>
      </c>
      <c r="AA138" s="30">
        <f t="shared" ca="1" si="52"/>
        <v>40</v>
      </c>
      <c r="AB138" s="30">
        <f t="shared" ca="1" si="52"/>
        <v>40</v>
      </c>
      <c r="AC138" s="30">
        <f t="shared" ca="1" si="52"/>
        <v>40</v>
      </c>
      <c r="AD138" s="30">
        <f t="shared" ca="1" si="52"/>
        <v>40</v>
      </c>
      <c r="AE138" s="30">
        <f t="shared" ca="1" si="52"/>
        <v>40</v>
      </c>
      <c r="AF138" s="30">
        <f t="shared" ca="1" si="52"/>
        <v>40</v>
      </c>
      <c r="AG138" s="30">
        <f t="shared" ca="1" si="52"/>
        <v>40</v>
      </c>
      <c r="AH138" s="30">
        <f t="shared" ca="1" si="52"/>
        <v>40</v>
      </c>
      <c r="AI138" s="30">
        <f t="shared" ca="1" si="52"/>
        <v>40</v>
      </c>
      <c r="AJ138" s="30">
        <f t="shared" ca="1" si="52"/>
        <v>40</v>
      </c>
      <c r="AK138" s="30">
        <f t="shared" ca="1" si="52"/>
        <v>40</v>
      </c>
      <c r="AL138" s="30">
        <f t="shared" ca="1" si="52"/>
        <v>40</v>
      </c>
      <c r="AM138" s="30">
        <f t="shared" ca="1" si="52"/>
        <v>40</v>
      </c>
      <c r="AN138" s="30">
        <f t="shared" ca="1" si="52"/>
        <v>40</v>
      </c>
      <c r="AO138" s="30">
        <f t="shared" ca="1" si="52"/>
        <v>40</v>
      </c>
      <c r="AP138" s="30">
        <f t="shared" ca="1" si="52"/>
        <v>40</v>
      </c>
      <c r="AQ138" s="30">
        <f t="shared" ca="1" si="52"/>
        <v>40</v>
      </c>
      <c r="AR138" s="30">
        <f t="shared" ca="1" si="52"/>
        <v>40</v>
      </c>
      <c r="AS138" s="30">
        <f t="shared" ca="1" si="52"/>
        <v>40</v>
      </c>
      <c r="AT138" s="30">
        <f t="shared" ca="1" si="52"/>
        <v>40</v>
      </c>
    </row>
    <row r="139" spans="2:46" s="26" customFormat="1" x14ac:dyDescent="0.35">
      <c r="B139" s="26" t="s">
        <v>130</v>
      </c>
      <c r="J139" s="27">
        <f t="shared" ref="J139:AT139" ca="1" si="53">SUM(J137:J138)</f>
        <v>70</v>
      </c>
      <c r="K139" s="27">
        <f t="shared" ca="1" si="53"/>
        <v>70</v>
      </c>
      <c r="L139" s="27">
        <f t="shared" ca="1" si="53"/>
        <v>70</v>
      </c>
      <c r="M139" s="27">
        <f t="shared" ca="1" si="53"/>
        <v>70</v>
      </c>
      <c r="N139" s="27">
        <f t="shared" ca="1" si="53"/>
        <v>70</v>
      </c>
      <c r="O139" s="27">
        <f t="shared" ca="1" si="53"/>
        <v>70</v>
      </c>
      <c r="P139" s="27">
        <f t="shared" ca="1" si="53"/>
        <v>70</v>
      </c>
      <c r="Q139" s="27">
        <f t="shared" ca="1" si="53"/>
        <v>70</v>
      </c>
      <c r="R139" s="27">
        <f t="shared" ca="1" si="53"/>
        <v>70</v>
      </c>
      <c r="S139" s="27">
        <f t="shared" ca="1" si="53"/>
        <v>70</v>
      </c>
      <c r="T139" s="27">
        <f t="shared" ca="1" si="53"/>
        <v>70</v>
      </c>
      <c r="U139" s="27">
        <f t="shared" ca="1" si="53"/>
        <v>70</v>
      </c>
      <c r="V139" s="27">
        <f t="shared" ca="1" si="53"/>
        <v>70</v>
      </c>
      <c r="W139" s="27">
        <f t="shared" ca="1" si="53"/>
        <v>70</v>
      </c>
      <c r="X139" s="27">
        <f t="shared" ca="1" si="53"/>
        <v>70</v>
      </c>
      <c r="Y139" s="27">
        <f t="shared" ca="1" si="53"/>
        <v>70</v>
      </c>
      <c r="Z139" s="27">
        <f t="shared" ca="1" si="53"/>
        <v>70</v>
      </c>
      <c r="AA139" s="27">
        <f t="shared" ca="1" si="53"/>
        <v>70</v>
      </c>
      <c r="AB139" s="27">
        <f t="shared" ca="1" si="53"/>
        <v>70</v>
      </c>
      <c r="AC139" s="27">
        <f t="shared" ca="1" si="53"/>
        <v>70</v>
      </c>
      <c r="AD139" s="27">
        <f t="shared" ca="1" si="53"/>
        <v>70</v>
      </c>
      <c r="AE139" s="27">
        <f t="shared" ca="1" si="53"/>
        <v>70</v>
      </c>
      <c r="AF139" s="27">
        <f t="shared" ca="1" si="53"/>
        <v>70</v>
      </c>
      <c r="AG139" s="27">
        <f t="shared" ca="1" si="53"/>
        <v>70</v>
      </c>
      <c r="AH139" s="27">
        <f t="shared" ca="1" si="53"/>
        <v>70</v>
      </c>
      <c r="AI139" s="27">
        <f t="shared" ca="1" si="53"/>
        <v>70</v>
      </c>
      <c r="AJ139" s="27">
        <f t="shared" ca="1" si="53"/>
        <v>70</v>
      </c>
      <c r="AK139" s="27">
        <f t="shared" ca="1" si="53"/>
        <v>70</v>
      </c>
      <c r="AL139" s="27">
        <f t="shared" ca="1" si="53"/>
        <v>70</v>
      </c>
      <c r="AM139" s="27">
        <f t="shared" ca="1" si="53"/>
        <v>70</v>
      </c>
      <c r="AN139" s="27">
        <f t="shared" ca="1" si="53"/>
        <v>70</v>
      </c>
      <c r="AO139" s="27">
        <f t="shared" ca="1" si="53"/>
        <v>70</v>
      </c>
      <c r="AP139" s="27">
        <f t="shared" ca="1" si="53"/>
        <v>70</v>
      </c>
      <c r="AQ139" s="27">
        <f t="shared" ca="1" si="53"/>
        <v>70</v>
      </c>
      <c r="AR139" s="27">
        <f t="shared" ca="1" si="53"/>
        <v>70</v>
      </c>
      <c r="AS139" s="27">
        <f t="shared" ca="1" si="53"/>
        <v>70</v>
      </c>
      <c r="AT139" s="27">
        <f t="shared" ca="1" si="53"/>
        <v>70</v>
      </c>
    </row>
    <row r="140" spans="2:46" ht="15" customHeight="1" x14ac:dyDescent="0.35"/>
    <row r="141" spans="2:46" s="1" customFormat="1" ht="15" customHeight="1" thickBot="1" x14ac:dyDescent="0.4">
      <c r="B141" s="1" t="s">
        <v>131</v>
      </c>
      <c r="C141" s="1" t="s">
        <v>14</v>
      </c>
      <c r="D141" s="2"/>
      <c r="E141" s="2"/>
      <c r="F141" s="2"/>
      <c r="G141" s="2"/>
      <c r="H141" s="2"/>
    </row>
    <row r="142" spans="2:46" x14ac:dyDescent="0.35">
      <c r="B142" t="str">
        <f>B137</f>
        <v>Телефонный оператор</v>
      </c>
      <c r="J142" s="30">
        <f ca="1">J127*Предпосылки!$C111</f>
        <v>10.413793103448276</v>
      </c>
      <c r="K142" s="30">
        <f ca="1">K127*Предпосылки!$C111</f>
        <v>10.413793103448276</v>
      </c>
      <c r="L142" s="30">
        <f ca="1">L127*Предпосылки!$C111</f>
        <v>10.413793103448276</v>
      </c>
      <c r="M142" s="30">
        <f ca="1">M127*Предпосылки!$C111</f>
        <v>10.413793103448276</v>
      </c>
      <c r="N142" s="30">
        <f ca="1">N127*Предпосылки!$C111</f>
        <v>10.413793103448276</v>
      </c>
      <c r="O142" s="30">
        <f ca="1">O127*Предпосылки!$C111</f>
        <v>10.413793103448276</v>
      </c>
      <c r="P142" s="30">
        <f ca="1">P127*Предпосылки!$C111</f>
        <v>10.413793103448276</v>
      </c>
      <c r="Q142" s="30">
        <f ca="1">Q127*Предпосылки!$C111</f>
        <v>10.413793103448276</v>
      </c>
      <c r="R142" s="30">
        <f ca="1">R127*Предпосылки!$C111</f>
        <v>10.413793103448276</v>
      </c>
      <c r="S142" s="30">
        <f ca="1">S127*Предпосылки!$C111</f>
        <v>10.413793103448276</v>
      </c>
      <c r="T142" s="30">
        <f ca="1">T127*Предпосылки!$C111</f>
        <v>10.413793103448276</v>
      </c>
      <c r="U142" s="30">
        <f ca="1">U127*Предпосылки!$C111</f>
        <v>10.413793103448276</v>
      </c>
      <c r="V142" s="30">
        <f ca="1">V127*Предпосылки!$C111</f>
        <v>10.413793103448276</v>
      </c>
      <c r="W142" s="30">
        <f ca="1">W127*Предпосылки!$C111</f>
        <v>10.413793103448276</v>
      </c>
      <c r="X142" s="30">
        <f ca="1">X127*Предпосылки!$C111</f>
        <v>10.413793103448276</v>
      </c>
      <c r="Y142" s="30">
        <f ca="1">Y127*Предпосылки!$C111</f>
        <v>10.413793103448276</v>
      </c>
      <c r="Z142" s="30">
        <f ca="1">Z127*Предпосылки!$C111</f>
        <v>10.413793103448276</v>
      </c>
      <c r="AA142" s="30">
        <f ca="1">AA127*Предпосылки!$C111</f>
        <v>10.413793103448276</v>
      </c>
      <c r="AB142" s="30">
        <f ca="1">AB127*Предпосылки!$C111</f>
        <v>10.413793103448276</v>
      </c>
      <c r="AC142" s="30">
        <f ca="1">AC127*Предпосылки!$C111</f>
        <v>10.413793103448276</v>
      </c>
      <c r="AD142" s="30">
        <f ca="1">AD127*Предпосылки!$C111</f>
        <v>10.413793103448276</v>
      </c>
      <c r="AE142" s="30">
        <f ca="1">AE127*Предпосылки!$C111</f>
        <v>10.413793103448276</v>
      </c>
      <c r="AF142" s="30">
        <f ca="1">AF127*Предпосылки!$C111</f>
        <v>10.413793103448276</v>
      </c>
      <c r="AG142" s="30">
        <f ca="1">AG127*Предпосылки!$C111</f>
        <v>10.413793103448276</v>
      </c>
      <c r="AH142" s="30">
        <f ca="1">AH127*Предпосылки!$C111</f>
        <v>10.413793103448276</v>
      </c>
      <c r="AI142" s="30">
        <f ca="1">AI127*Предпосылки!$C111</f>
        <v>10.413793103448276</v>
      </c>
      <c r="AJ142" s="30">
        <f ca="1">AJ127*Предпосылки!$C111</f>
        <v>10.413793103448276</v>
      </c>
      <c r="AK142" s="30">
        <f ca="1">AK127*Предпосылки!$C111</f>
        <v>10.413793103448276</v>
      </c>
      <c r="AL142" s="30">
        <f ca="1">AL127*Предпосылки!$C111</f>
        <v>10.413793103448276</v>
      </c>
      <c r="AM142" s="30">
        <f ca="1">AM127*Предпосылки!$C111</f>
        <v>10.413793103448276</v>
      </c>
      <c r="AN142" s="30">
        <f ca="1">AN127*Предпосылки!$C111</f>
        <v>10.413793103448276</v>
      </c>
      <c r="AO142" s="30">
        <f ca="1">AO127*Предпосылки!$C111</f>
        <v>10.413793103448276</v>
      </c>
      <c r="AP142" s="30">
        <f ca="1">AP127*Предпосылки!$C111</f>
        <v>10.413793103448276</v>
      </c>
      <c r="AQ142" s="30">
        <f ca="1">AQ127*Предпосылки!$C111</f>
        <v>10.413793103448276</v>
      </c>
      <c r="AR142" s="30">
        <f ca="1">AR127*Предпосылки!$C111</f>
        <v>10.413793103448276</v>
      </c>
      <c r="AS142" s="30">
        <f ca="1">AS127*Предпосылки!$C111</f>
        <v>10.413793103448276</v>
      </c>
      <c r="AT142" s="30">
        <f ca="1">AT127*Предпосылки!$C111</f>
        <v>10.413793103448276</v>
      </c>
    </row>
    <row r="143" spans="2:46" x14ac:dyDescent="0.35">
      <c r="B143" t="str">
        <f>B138</f>
        <v>Продавец</v>
      </c>
      <c r="J143" s="30">
        <f ca="1">J128*Предпосылки!$C112</f>
        <v>13.885057471264366</v>
      </c>
      <c r="K143" s="30">
        <f ca="1">K128*Предпосылки!$C112</f>
        <v>13.885057471264366</v>
      </c>
      <c r="L143" s="30">
        <f ca="1">L128*Предпосылки!$C112</f>
        <v>13.885057471264366</v>
      </c>
      <c r="M143" s="30">
        <f ca="1">M128*Предпосылки!$C112</f>
        <v>13.885057471264366</v>
      </c>
      <c r="N143" s="30">
        <f ca="1">N128*Предпосылки!$C112</f>
        <v>13.885057471264366</v>
      </c>
      <c r="O143" s="30">
        <f ca="1">O128*Предпосылки!$C112</f>
        <v>13.885057471264366</v>
      </c>
      <c r="P143" s="30">
        <f ca="1">P128*Предпосылки!$C112</f>
        <v>13.885057471264366</v>
      </c>
      <c r="Q143" s="30">
        <f ca="1">Q128*Предпосылки!$C112</f>
        <v>13.885057471264366</v>
      </c>
      <c r="R143" s="30">
        <f ca="1">R128*Предпосылки!$C112</f>
        <v>13.885057471264366</v>
      </c>
      <c r="S143" s="30">
        <f ca="1">S128*Предпосылки!$C112</f>
        <v>13.885057471264366</v>
      </c>
      <c r="T143" s="30">
        <f ca="1">T128*Предпосылки!$C112</f>
        <v>13.885057471264366</v>
      </c>
      <c r="U143" s="30">
        <f ca="1">U128*Предпосылки!$C112</f>
        <v>13.885057471264366</v>
      </c>
      <c r="V143" s="30">
        <f ca="1">V128*Предпосылки!$C112</f>
        <v>13.885057471264366</v>
      </c>
      <c r="W143" s="30">
        <f ca="1">W128*Предпосылки!$C112</f>
        <v>13.885057471264366</v>
      </c>
      <c r="X143" s="30">
        <f ca="1">X128*Предпосылки!$C112</f>
        <v>13.885057471264366</v>
      </c>
      <c r="Y143" s="30">
        <f ca="1">Y128*Предпосылки!$C112</f>
        <v>13.885057471264366</v>
      </c>
      <c r="Z143" s="30">
        <f ca="1">Z128*Предпосылки!$C112</f>
        <v>13.885057471264366</v>
      </c>
      <c r="AA143" s="30">
        <f ca="1">AA128*Предпосылки!$C112</f>
        <v>13.885057471264366</v>
      </c>
      <c r="AB143" s="30">
        <f ca="1">AB128*Предпосылки!$C112</f>
        <v>13.885057471264366</v>
      </c>
      <c r="AC143" s="30">
        <f ca="1">AC128*Предпосылки!$C112</f>
        <v>13.885057471264366</v>
      </c>
      <c r="AD143" s="30">
        <f ca="1">AD128*Предпосылки!$C112</f>
        <v>13.885057471264366</v>
      </c>
      <c r="AE143" s="30">
        <f ca="1">AE128*Предпосылки!$C112</f>
        <v>13.885057471264366</v>
      </c>
      <c r="AF143" s="30">
        <f ca="1">AF128*Предпосылки!$C112</f>
        <v>13.885057471264366</v>
      </c>
      <c r="AG143" s="30">
        <f ca="1">AG128*Предпосылки!$C112</f>
        <v>13.885057471264366</v>
      </c>
      <c r="AH143" s="30">
        <f ca="1">AH128*Предпосылки!$C112</f>
        <v>13.885057471264366</v>
      </c>
      <c r="AI143" s="30">
        <f ca="1">AI128*Предпосылки!$C112</f>
        <v>13.885057471264366</v>
      </c>
      <c r="AJ143" s="30">
        <f ca="1">AJ128*Предпосылки!$C112</f>
        <v>13.885057471264366</v>
      </c>
      <c r="AK143" s="30">
        <f ca="1">AK128*Предпосылки!$C112</f>
        <v>13.885057471264366</v>
      </c>
      <c r="AL143" s="30">
        <f ca="1">AL128*Предпосылки!$C112</f>
        <v>13.885057471264366</v>
      </c>
      <c r="AM143" s="30">
        <f ca="1">AM128*Предпосылки!$C112</f>
        <v>13.885057471264366</v>
      </c>
      <c r="AN143" s="30">
        <f ca="1">AN128*Предпосылки!$C112</f>
        <v>13.885057471264366</v>
      </c>
      <c r="AO143" s="30">
        <f ca="1">AO128*Предпосылки!$C112</f>
        <v>13.885057471264366</v>
      </c>
      <c r="AP143" s="30">
        <f ca="1">AP128*Предпосылки!$C112</f>
        <v>13.885057471264366</v>
      </c>
      <c r="AQ143" s="30">
        <f ca="1">AQ128*Предпосылки!$C112</f>
        <v>13.885057471264366</v>
      </c>
      <c r="AR143" s="30">
        <f ca="1">AR128*Предпосылки!$C112</f>
        <v>13.885057471264366</v>
      </c>
      <c r="AS143" s="30">
        <f ca="1">AS128*Предпосылки!$C112</f>
        <v>13.885057471264366</v>
      </c>
      <c r="AT143" s="30">
        <f ca="1">AT128*Предпосылки!$C112</f>
        <v>13.885057471264366</v>
      </c>
    </row>
    <row r="144" spans="2:46" s="26" customFormat="1" x14ac:dyDescent="0.35">
      <c r="B144" s="26" t="s">
        <v>132</v>
      </c>
      <c r="J144" s="27">
        <f t="shared" ref="J144:AT144" ca="1" si="54">SUM(J142:J143)</f>
        <v>24.298850574712642</v>
      </c>
      <c r="K144" s="27">
        <f t="shared" ca="1" si="54"/>
        <v>24.298850574712642</v>
      </c>
      <c r="L144" s="27">
        <f t="shared" ca="1" si="54"/>
        <v>24.298850574712642</v>
      </c>
      <c r="M144" s="27">
        <f t="shared" ca="1" si="54"/>
        <v>24.298850574712642</v>
      </c>
      <c r="N144" s="27">
        <f t="shared" ca="1" si="54"/>
        <v>24.298850574712642</v>
      </c>
      <c r="O144" s="27">
        <f t="shared" ca="1" si="54"/>
        <v>24.298850574712642</v>
      </c>
      <c r="P144" s="27">
        <f t="shared" ca="1" si="54"/>
        <v>24.298850574712642</v>
      </c>
      <c r="Q144" s="27">
        <f t="shared" ca="1" si="54"/>
        <v>24.298850574712642</v>
      </c>
      <c r="R144" s="27">
        <f t="shared" ca="1" si="54"/>
        <v>24.298850574712642</v>
      </c>
      <c r="S144" s="27">
        <f t="shared" ca="1" si="54"/>
        <v>24.298850574712642</v>
      </c>
      <c r="T144" s="27">
        <f t="shared" ca="1" si="54"/>
        <v>24.298850574712642</v>
      </c>
      <c r="U144" s="27">
        <f t="shared" ca="1" si="54"/>
        <v>24.298850574712642</v>
      </c>
      <c r="V144" s="27">
        <f t="shared" ca="1" si="54"/>
        <v>24.298850574712642</v>
      </c>
      <c r="W144" s="27">
        <f t="shared" ca="1" si="54"/>
        <v>24.298850574712642</v>
      </c>
      <c r="X144" s="27">
        <f t="shared" ca="1" si="54"/>
        <v>24.298850574712642</v>
      </c>
      <c r="Y144" s="27">
        <f t="shared" ca="1" si="54"/>
        <v>24.298850574712642</v>
      </c>
      <c r="Z144" s="27">
        <f t="shared" ca="1" si="54"/>
        <v>24.298850574712642</v>
      </c>
      <c r="AA144" s="27">
        <f t="shared" ca="1" si="54"/>
        <v>24.298850574712642</v>
      </c>
      <c r="AB144" s="27">
        <f t="shared" ca="1" si="54"/>
        <v>24.298850574712642</v>
      </c>
      <c r="AC144" s="27">
        <f t="shared" ca="1" si="54"/>
        <v>24.298850574712642</v>
      </c>
      <c r="AD144" s="27">
        <f t="shared" ca="1" si="54"/>
        <v>24.298850574712642</v>
      </c>
      <c r="AE144" s="27">
        <f t="shared" ca="1" si="54"/>
        <v>24.298850574712642</v>
      </c>
      <c r="AF144" s="27">
        <f t="shared" ca="1" si="54"/>
        <v>24.298850574712642</v>
      </c>
      <c r="AG144" s="27">
        <f t="shared" ca="1" si="54"/>
        <v>24.298850574712642</v>
      </c>
      <c r="AH144" s="27">
        <f t="shared" ca="1" si="54"/>
        <v>24.298850574712642</v>
      </c>
      <c r="AI144" s="27">
        <f t="shared" ca="1" si="54"/>
        <v>24.298850574712642</v>
      </c>
      <c r="AJ144" s="27">
        <f t="shared" ca="1" si="54"/>
        <v>24.298850574712642</v>
      </c>
      <c r="AK144" s="27">
        <f t="shared" ca="1" si="54"/>
        <v>24.298850574712642</v>
      </c>
      <c r="AL144" s="27">
        <f t="shared" ca="1" si="54"/>
        <v>24.298850574712642</v>
      </c>
      <c r="AM144" s="27">
        <f t="shared" ca="1" si="54"/>
        <v>24.298850574712642</v>
      </c>
      <c r="AN144" s="27">
        <f t="shared" ca="1" si="54"/>
        <v>24.298850574712642</v>
      </c>
      <c r="AO144" s="27">
        <f t="shared" ca="1" si="54"/>
        <v>24.298850574712642</v>
      </c>
      <c r="AP144" s="27">
        <f t="shared" ca="1" si="54"/>
        <v>24.298850574712642</v>
      </c>
      <c r="AQ144" s="27">
        <f t="shared" ca="1" si="54"/>
        <v>24.298850574712642</v>
      </c>
      <c r="AR144" s="27">
        <f t="shared" ca="1" si="54"/>
        <v>24.298850574712642</v>
      </c>
      <c r="AS144" s="27">
        <f t="shared" ca="1" si="54"/>
        <v>24.298850574712642</v>
      </c>
      <c r="AT144" s="27">
        <f t="shared" ca="1" si="54"/>
        <v>24.298850574712642</v>
      </c>
    </row>
    <row r="145" spans="2:46" s="26" customFormat="1" x14ac:dyDescent="0.35"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</row>
    <row r="146" spans="2:46" s="1" customFormat="1" ht="15" customHeight="1" thickBot="1" x14ac:dyDescent="0.4">
      <c r="B146" s="1" t="s">
        <v>133</v>
      </c>
      <c r="C146" s="1" t="s">
        <v>14</v>
      </c>
      <c r="D146" s="2"/>
      <c r="E146" s="2"/>
      <c r="F146" s="2"/>
      <c r="G146" s="2"/>
      <c r="H146" s="2"/>
    </row>
    <row r="147" spans="2:46" x14ac:dyDescent="0.35">
      <c r="B147" t="s">
        <v>134</v>
      </c>
      <c r="J147" s="30">
        <f t="shared" ref="J147:AT147" ca="1" si="55">SUM(J18,J19,J26,J31)</f>
        <v>6.6840876436781969</v>
      </c>
      <c r="K147" s="30">
        <f t="shared" ca="1" si="55"/>
        <v>8.7047647270114794</v>
      </c>
      <c r="L147" s="30">
        <f t="shared" ca="1" si="55"/>
        <v>10.753873768678204</v>
      </c>
      <c r="M147" s="30">
        <f t="shared" ca="1" si="55"/>
        <v>12.83180626245462</v>
      </c>
      <c r="N147" s="30">
        <f t="shared" ca="1" si="55"/>
        <v>162.13653871672494</v>
      </c>
      <c r="O147" s="30">
        <f t="shared" ca="1" si="55"/>
        <v>17.075734209840533</v>
      </c>
      <c r="P147" s="30">
        <f t="shared" ca="1" si="55"/>
        <v>19.242539494281885</v>
      </c>
      <c r="Q147" s="30">
        <f t="shared" ca="1" si="55"/>
        <v>98.288992401798396</v>
      </c>
      <c r="R147" s="30">
        <f t="shared" ca="1" si="55"/>
        <v>23.667898614468584</v>
      </c>
      <c r="S147" s="30">
        <f t="shared" ca="1" si="55"/>
        <v>25.927295674875836</v>
      </c>
      <c r="T147" s="30">
        <f t="shared" ca="1" si="55"/>
        <v>28.218409424119017</v>
      </c>
      <c r="U147" s="30">
        <f t="shared" ca="1" si="55"/>
        <v>193.34197248586526</v>
      </c>
      <c r="V147" s="30">
        <f t="shared" ca="1" si="55"/>
        <v>28.37706769951464</v>
      </c>
      <c r="W147" s="30">
        <f t="shared" ca="1" si="55"/>
        <v>30.727016753445838</v>
      </c>
      <c r="X147" s="30">
        <f t="shared" ca="1" si="55"/>
        <v>33.11007286639196</v>
      </c>
      <c r="Y147" s="30">
        <f t="shared" ca="1" si="55"/>
        <v>35.526692295560395</v>
      </c>
      <c r="Z147" s="30">
        <f t="shared" ca="1" si="55"/>
        <v>208.83829567347971</v>
      </c>
      <c r="AA147" s="30">
        <f t="shared" ca="1" si="55"/>
        <v>40.462477183354167</v>
      </c>
      <c r="AB147" s="30">
        <f t="shared" ca="1" si="55"/>
        <v>42.982586459038771</v>
      </c>
      <c r="AC147" s="30">
        <f t="shared" ca="1" si="55"/>
        <v>134.74903062701196</v>
      </c>
      <c r="AD147" s="30">
        <f t="shared" ca="1" si="55"/>
        <v>48.129646439663134</v>
      </c>
      <c r="AE147" s="30">
        <f t="shared" ca="1" si="55"/>
        <v>50.757579903665203</v>
      </c>
      <c r="AF147" s="30">
        <f t="shared" ca="1" si="55"/>
        <v>53.422448646636383</v>
      </c>
      <c r="AG147" s="30">
        <f t="shared" ca="1" si="55"/>
        <v>245.13314242629679</v>
      </c>
      <c r="AH147" s="30">
        <f t="shared" ca="1" si="55"/>
        <v>53.599793682494493</v>
      </c>
      <c r="AI147" s="30">
        <f t="shared" ca="1" si="55"/>
        <v>56.332455238245359</v>
      </c>
      <c r="AJ147" s="30">
        <f t="shared" ca="1" si="55"/>
        <v>59.103665691357463</v>
      </c>
      <c r="AK147" s="30">
        <f t="shared" ca="1" si="55"/>
        <v>61.913956757136361</v>
      </c>
      <c r="AL147" s="30">
        <f t="shared" ca="1" si="55"/>
        <v>263.06760543639467</v>
      </c>
      <c r="AM147" s="30">
        <f t="shared" ca="1" si="55"/>
        <v>67.653943797378702</v>
      </c>
      <c r="AN147" s="30">
        <f t="shared" ca="1" si="55"/>
        <v>70.584739704362903</v>
      </c>
      <c r="AO147" s="30">
        <f t="shared" ca="1" si="55"/>
        <v>177.10515977541365</v>
      </c>
      <c r="AP147" s="30">
        <f t="shared" ca="1" si="55"/>
        <v>76.570742356716835</v>
      </c>
      <c r="AQ147" s="30">
        <f t="shared" ca="1" si="55"/>
        <v>79.627094445447597</v>
      </c>
      <c r="AR147" s="30">
        <f t="shared" ca="1" si="55"/>
        <v>82.726456909901742</v>
      </c>
      <c r="AS147" s="30">
        <f t="shared" ca="1" si="55"/>
        <v>305.27871476236584</v>
      </c>
      <c r="AT147" s="30">
        <f t="shared" ca="1" si="55"/>
        <v>82.914328480153145</v>
      </c>
    </row>
    <row r="148" spans="2:46" s="28" customFormat="1" x14ac:dyDescent="0.35">
      <c r="D148" s="29"/>
      <c r="E148" s="29"/>
      <c r="F148" s="29"/>
      <c r="G148" s="29"/>
      <c r="H148" s="29"/>
    </row>
    <row r="149" spans="2:46" x14ac:dyDescent="0.35">
      <c r="B149" t="s">
        <v>71</v>
      </c>
      <c r="E149" s="31"/>
      <c r="F149" s="29"/>
      <c r="I149" s="30">
        <f ca="1">IF(I1=DATE(2025,12,1),Предпосылки!C115,H149+I147)</f>
        <v>-150</v>
      </c>
      <c r="J149" s="30">
        <f t="shared" ref="J149:AT149" ca="1" si="56">IF(J1=DATE(2025,12,1),E149,I149+J147)</f>
        <v>-143.3159123563218</v>
      </c>
      <c r="K149" s="30">
        <f t="shared" ca="1" si="56"/>
        <v>-134.61114762931032</v>
      </c>
      <c r="L149" s="30">
        <f t="shared" ca="1" si="56"/>
        <v>-123.85727386063212</v>
      </c>
      <c r="M149" s="30">
        <f t="shared" ca="1" si="56"/>
        <v>-111.0254675981775</v>
      </c>
      <c r="N149" s="30">
        <f t="shared" ca="1" si="56"/>
        <v>51.111071118547443</v>
      </c>
      <c r="O149" s="30">
        <f t="shared" ca="1" si="56"/>
        <v>68.186805328387976</v>
      </c>
      <c r="P149" s="30">
        <f t="shared" ca="1" si="56"/>
        <v>87.429344822669862</v>
      </c>
      <c r="Q149" s="30">
        <f t="shared" ca="1" si="56"/>
        <v>185.71833722446826</v>
      </c>
      <c r="R149" s="30">
        <f t="shared" ca="1" si="56"/>
        <v>209.38623583893684</v>
      </c>
      <c r="S149" s="30">
        <f t="shared" ca="1" si="56"/>
        <v>235.31353151381268</v>
      </c>
      <c r="T149" s="30">
        <f t="shared" ca="1" si="56"/>
        <v>263.53194093793172</v>
      </c>
      <c r="U149" s="30">
        <f t="shared" ca="1" si="56"/>
        <v>456.87391342379698</v>
      </c>
      <c r="V149" s="30">
        <f t="shared" ca="1" si="56"/>
        <v>485.25098112331159</v>
      </c>
      <c r="W149" s="30">
        <f t="shared" ca="1" si="56"/>
        <v>515.9779978767574</v>
      </c>
      <c r="X149" s="30">
        <f t="shared" ca="1" si="56"/>
        <v>549.08807074314939</v>
      </c>
      <c r="Y149" s="30">
        <f t="shared" ca="1" si="56"/>
        <v>584.61476303870973</v>
      </c>
      <c r="Z149" s="30">
        <f t="shared" ca="1" si="56"/>
        <v>793.45305871218943</v>
      </c>
      <c r="AA149" s="30">
        <f t="shared" ca="1" si="56"/>
        <v>833.9155358955436</v>
      </c>
      <c r="AB149" s="30">
        <f t="shared" ca="1" si="56"/>
        <v>876.89812235458237</v>
      </c>
      <c r="AC149" s="30">
        <f t="shared" ca="1" si="56"/>
        <v>1011.6471529815943</v>
      </c>
      <c r="AD149" s="30">
        <f t="shared" ca="1" si="56"/>
        <v>1059.7767994212575</v>
      </c>
      <c r="AE149" s="30">
        <f t="shared" ca="1" si="56"/>
        <v>1110.5343793249226</v>
      </c>
      <c r="AF149" s="30">
        <f t="shared" ca="1" si="56"/>
        <v>1163.9568279715591</v>
      </c>
      <c r="AG149" s="30">
        <f t="shared" ca="1" si="56"/>
        <v>1409.0899703978557</v>
      </c>
      <c r="AH149" s="30">
        <f t="shared" ca="1" si="56"/>
        <v>1462.6897640803502</v>
      </c>
      <c r="AI149" s="30">
        <f t="shared" ca="1" si="56"/>
        <v>1519.0222193185955</v>
      </c>
      <c r="AJ149" s="30">
        <f t="shared" ca="1" si="56"/>
        <v>1578.125885009953</v>
      </c>
      <c r="AK149" s="30">
        <f t="shared" ca="1" si="56"/>
        <v>1640.0398417670895</v>
      </c>
      <c r="AL149" s="30">
        <f t="shared" ca="1" si="56"/>
        <v>1903.1074472034841</v>
      </c>
      <c r="AM149" s="30">
        <f t="shared" ca="1" si="56"/>
        <v>1970.7613910008627</v>
      </c>
      <c r="AN149" s="30">
        <f t="shared" ca="1" si="56"/>
        <v>2041.3461307052255</v>
      </c>
      <c r="AO149" s="30">
        <f t="shared" ca="1" si="56"/>
        <v>2218.4512904806393</v>
      </c>
      <c r="AP149" s="30">
        <f t="shared" ca="1" si="56"/>
        <v>2295.0220328373562</v>
      </c>
      <c r="AQ149" s="30">
        <f t="shared" ca="1" si="56"/>
        <v>2374.6491272828039</v>
      </c>
      <c r="AR149" s="30">
        <f t="shared" ca="1" si="56"/>
        <v>2457.3755841927054</v>
      </c>
      <c r="AS149" s="30">
        <f t="shared" ca="1" si="56"/>
        <v>2762.6542989550712</v>
      </c>
      <c r="AT149" s="30">
        <f t="shared" ca="1" si="56"/>
        <v>2845.5686274352242</v>
      </c>
    </row>
    <row r="150" spans="2:46" x14ac:dyDescent="0.35">
      <c r="D150" s="30"/>
      <c r="E150" s="31"/>
      <c r="F150" s="29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</row>
    <row r="151" spans="2:46" x14ac:dyDescent="0.35">
      <c r="B151" t="s">
        <v>70</v>
      </c>
      <c r="E151" s="31"/>
      <c r="F151" s="29"/>
      <c r="I151" s="30"/>
      <c r="J151" s="30">
        <f ca="1">MAX(MIN(J147,J149),0)*Предпосылки!$C116</f>
        <v>0</v>
      </c>
      <c r="K151" s="30">
        <f ca="1">MAX(MIN(K147,K149),0)*Предпосылки!$C116</f>
        <v>0</v>
      </c>
      <c r="L151" s="30">
        <f ca="1">MAX(MIN(L147,L149),0)*Предпосылки!$C116</f>
        <v>0</v>
      </c>
      <c r="M151" s="30">
        <f ca="1">MAX(MIN(M147,M149),0)*Предпосылки!$C116</f>
        <v>0</v>
      </c>
      <c r="N151" s="30">
        <f ca="1">MAX(MIN(N147,N149),0)*Предпосылки!$C116</f>
        <v>10.222214223709489</v>
      </c>
      <c r="O151" s="30">
        <f ca="1">MAX(MIN(O147,O149),0)*Предпосылки!$C116</f>
        <v>3.4151468419681068</v>
      </c>
      <c r="P151" s="30">
        <f ca="1">MAX(MIN(P147,P149),0)*Предпосылки!$C116</f>
        <v>3.8485078988563775</v>
      </c>
      <c r="Q151" s="30">
        <f ca="1">MAX(MIN(Q147,Q149),0)*Предпосылки!$C116</f>
        <v>19.657798480359681</v>
      </c>
      <c r="R151" s="30">
        <f ca="1">MAX(MIN(R147,R149),0)*Предпосылки!$C116</f>
        <v>4.7335797228937171</v>
      </c>
      <c r="S151" s="30">
        <f ca="1">MAX(MIN(S147,S149),0)*Предпосылки!$C116</f>
        <v>5.1854591349751677</v>
      </c>
      <c r="T151" s="30">
        <f ca="1">MAX(MIN(T147,T149),0)*Предпосылки!$C116</f>
        <v>5.6436818848238035</v>
      </c>
      <c r="U151" s="30">
        <f ca="1">MAX(MIN(U147,U149),0)*Предпосылки!$C116</f>
        <v>38.668394497173054</v>
      </c>
      <c r="V151" s="30">
        <f ca="1">MAX(MIN(V147,V149),0)*Предпосылки!$C116</f>
        <v>5.6754135399029284</v>
      </c>
      <c r="W151" s="30">
        <f ca="1">MAX(MIN(W147,W149),0)*Предпосылки!$C116</f>
        <v>6.1454033506891683</v>
      </c>
      <c r="X151" s="30">
        <f ca="1">MAX(MIN(X147,X149),0)*Предпосылки!$C116</f>
        <v>6.6220145732783919</v>
      </c>
      <c r="Y151" s="30">
        <f ca="1">MAX(MIN(Y147,Y149),0)*Предпосылки!$C116</f>
        <v>7.1053384591120796</v>
      </c>
      <c r="Z151" s="30">
        <f ca="1">MAX(MIN(Z147,Z149),0)*Предпосылки!$C116</f>
        <v>41.767659134695947</v>
      </c>
      <c r="AA151" s="30">
        <f ca="1">MAX(MIN(AA147,AA149),0)*Предпосылки!$C116</f>
        <v>8.0924954366708342</v>
      </c>
      <c r="AB151" s="30">
        <f ca="1">MAX(MIN(AB147,AB149),0)*Предпосылки!$C116</f>
        <v>8.5965172918077553</v>
      </c>
      <c r="AC151" s="30">
        <f ca="1">MAX(MIN(AC147,AC149),0)*Предпосылки!$C116</f>
        <v>26.949806125402393</v>
      </c>
      <c r="AD151" s="30">
        <f ca="1">MAX(MIN(AD147,AD149),0)*Предпосылки!$C116</f>
        <v>9.6259292879326281</v>
      </c>
      <c r="AE151" s="30">
        <f ca="1">MAX(MIN(AE147,AE149),0)*Предпосылки!$C116</f>
        <v>10.151515980733041</v>
      </c>
      <c r="AF151" s="30">
        <f ca="1">MAX(MIN(AF147,AF149),0)*Предпосылки!$C116</f>
        <v>10.684489729327277</v>
      </c>
      <c r="AG151" s="30">
        <f ca="1">MAX(MIN(AG147,AG149),0)*Предпосылки!$C116</f>
        <v>49.026628485259359</v>
      </c>
      <c r="AH151" s="30">
        <f ca="1">MAX(MIN(AH147,AH149),0)*Предпосылки!$C116</f>
        <v>10.719958736498899</v>
      </c>
      <c r="AI151" s="30">
        <f ca="1">MAX(MIN(AI147,AI149),0)*Предпосылки!$C116</f>
        <v>11.266491047649072</v>
      </c>
      <c r="AJ151" s="30">
        <f ca="1">MAX(MIN(AJ147,AJ149),0)*Предпосылки!$C116</f>
        <v>11.820733138271493</v>
      </c>
      <c r="AK151" s="30">
        <f ca="1">MAX(MIN(AK147,AK149),0)*Предпосылки!$C116</f>
        <v>12.382791351427272</v>
      </c>
      <c r="AL151" s="30">
        <f ca="1">MAX(MIN(AL147,AL149),0)*Предпосылки!$C116</f>
        <v>52.61352108727894</v>
      </c>
      <c r="AM151" s="30">
        <f ca="1">MAX(MIN(AM147,AM149),0)*Предпосылки!$C116</f>
        <v>13.53078875947574</v>
      </c>
      <c r="AN151" s="30">
        <f ca="1">MAX(MIN(AN147,AN149),0)*Предпосылки!$C116</f>
        <v>14.116947940872581</v>
      </c>
      <c r="AO151" s="30">
        <f ca="1">MAX(MIN(AO147,AO149),0)*Предпосылки!$C116</f>
        <v>35.421031955082732</v>
      </c>
      <c r="AP151" s="30">
        <f ca="1">MAX(MIN(AP147,AP149),0)*Предпосылки!$C116</f>
        <v>15.314148471343367</v>
      </c>
      <c r="AQ151" s="30">
        <f ca="1">MAX(MIN(AQ147,AQ149),0)*Предпосылки!$C116</f>
        <v>15.925418889089521</v>
      </c>
      <c r="AR151" s="30">
        <f ca="1">MAX(MIN(AR147,AR149),0)*Предпосылки!$C116</f>
        <v>16.545291381980348</v>
      </c>
      <c r="AS151" s="30">
        <f ca="1">MAX(MIN(AS147,AS149),0)*Предпосылки!$C116</f>
        <v>61.055742952473167</v>
      </c>
      <c r="AT151" s="30">
        <f ca="1">MAX(MIN(AT147,AT149),0)*Предпосылки!$C116</f>
        <v>16.58286569603063</v>
      </c>
    </row>
    <row r="153" spans="2:46" s="1" customFormat="1" ht="15" customHeight="1" thickBot="1" x14ac:dyDescent="0.4">
      <c r="B153" s="1" t="s">
        <v>135</v>
      </c>
      <c r="C153" s="1" t="s">
        <v>14</v>
      </c>
      <c r="D153" s="2"/>
      <c r="E153" s="2"/>
      <c r="F153" s="2"/>
      <c r="G153" s="2"/>
      <c r="H153" s="2"/>
    </row>
    <row r="154" spans="2:46" s="73" customFormat="1" x14ac:dyDescent="0.35">
      <c r="B154" s="75" t="s">
        <v>136</v>
      </c>
      <c r="I154" s="75">
        <f t="shared" ref="I154:AT154" ca="1" si="57">SUM(I155+I157)</f>
        <v>350</v>
      </c>
      <c r="J154" s="75">
        <f t="shared" ca="1" si="57"/>
        <v>1056.6840876436781</v>
      </c>
      <c r="K154" s="75">
        <f t="shared" ca="1" si="57"/>
        <v>1065.3888523706896</v>
      </c>
      <c r="L154" s="75">
        <f t="shared" ca="1" si="57"/>
        <v>1076.1427261393676</v>
      </c>
      <c r="M154" s="75">
        <f t="shared" ca="1" si="57"/>
        <v>1088.974532401822</v>
      </c>
      <c r="N154" s="75">
        <f t="shared" ca="1" si="57"/>
        <v>1240.8888568948375</v>
      </c>
      <c r="O154" s="75">
        <f t="shared" ca="1" si="57"/>
        <v>1254.54944426271</v>
      </c>
      <c r="P154" s="75">
        <f t="shared" ca="1" si="57"/>
        <v>1069.9434758581356</v>
      </c>
      <c r="Q154" s="75">
        <f t="shared" ca="1" si="57"/>
        <v>1148.5746697795744</v>
      </c>
      <c r="R154" s="75">
        <f t="shared" ca="1" si="57"/>
        <v>1167.5089886711492</v>
      </c>
      <c r="S154" s="75">
        <f t="shared" ca="1" si="57"/>
        <v>1188.2508252110499</v>
      </c>
      <c r="T154" s="75">
        <f t="shared" ca="1" si="57"/>
        <v>1210.8255527503454</v>
      </c>
      <c r="U154" s="75">
        <f t="shared" ca="1" si="57"/>
        <v>1365.4991307390378</v>
      </c>
      <c r="V154" s="75">
        <f t="shared" ca="1" si="57"/>
        <v>1388.2007848986495</v>
      </c>
      <c r="W154" s="75">
        <f t="shared" ca="1" si="57"/>
        <v>1412.7823983014064</v>
      </c>
      <c r="X154" s="75">
        <f t="shared" ca="1" si="57"/>
        <v>1439.2704565945201</v>
      </c>
      <c r="Y154" s="75">
        <f t="shared" ca="1" si="57"/>
        <v>1467.6918104309686</v>
      </c>
      <c r="Z154" s="75">
        <f t="shared" ca="1" si="57"/>
        <v>1634.7624469697523</v>
      </c>
      <c r="AA154" s="75">
        <f t="shared" ca="1" si="57"/>
        <v>1667.1324287164357</v>
      </c>
      <c r="AB154" s="75">
        <f t="shared" ca="1" si="57"/>
        <v>1701.5184978836669</v>
      </c>
      <c r="AC154" s="75">
        <f t="shared" ca="1" si="57"/>
        <v>1809.3177223852765</v>
      </c>
      <c r="AD154" s="75">
        <f t="shared" ca="1" si="57"/>
        <v>1847.8214395370071</v>
      </c>
      <c r="AE154" s="75">
        <f t="shared" ca="1" si="57"/>
        <v>1888.4275034599393</v>
      </c>
      <c r="AF154" s="75">
        <f t="shared" ca="1" si="57"/>
        <v>1931.1654623772483</v>
      </c>
      <c r="AG154" s="75">
        <f t="shared" ca="1" si="57"/>
        <v>2127.2719763182859</v>
      </c>
      <c r="AH154" s="75">
        <f t="shared" ca="1" si="57"/>
        <v>2170.1518112642807</v>
      </c>
      <c r="AI154" s="75">
        <f t="shared" ca="1" si="57"/>
        <v>2215.217775454877</v>
      </c>
      <c r="AJ154" s="75">
        <f t="shared" ca="1" si="57"/>
        <v>2262.5007080079631</v>
      </c>
      <c r="AK154" s="75">
        <f t="shared" ca="1" si="57"/>
        <v>2312.0318734136727</v>
      </c>
      <c r="AL154" s="75">
        <f t="shared" ca="1" si="57"/>
        <v>2522.4859577627881</v>
      </c>
      <c r="AM154" s="75">
        <f t="shared" ca="1" si="57"/>
        <v>2576.6091128006915</v>
      </c>
      <c r="AN154" s="75">
        <f t="shared" ca="1" si="57"/>
        <v>2633.0769045641819</v>
      </c>
      <c r="AO154" s="75">
        <f t="shared" ca="1" si="57"/>
        <v>2774.7610323845129</v>
      </c>
      <c r="AP154" s="75">
        <f t="shared" ca="1" si="57"/>
        <v>2836.0176262698865</v>
      </c>
      <c r="AQ154" s="75">
        <f t="shared" ca="1" si="57"/>
        <v>2899.7193018262442</v>
      </c>
      <c r="AR154" s="75">
        <f t="shared" ca="1" si="57"/>
        <v>2965.9004673541658</v>
      </c>
      <c r="AS154" s="75">
        <f t="shared" ca="1" si="57"/>
        <v>3210.1234391640573</v>
      </c>
      <c r="AT154" s="75">
        <f t="shared" ca="1" si="57"/>
        <v>3276.4549019481797</v>
      </c>
    </row>
    <row r="155" spans="2:46" x14ac:dyDescent="0.35">
      <c r="B155" s="26" t="s">
        <v>137</v>
      </c>
      <c r="D155" s="30"/>
      <c r="E155" s="32"/>
      <c r="I155" s="26">
        <f t="shared" ref="I155:AT155" ca="1" si="58">SUM(I156)</f>
        <v>180</v>
      </c>
      <c r="J155" s="26">
        <f t="shared" ca="1" si="58"/>
        <v>165</v>
      </c>
      <c r="K155" s="26">
        <f t="shared" ca="1" si="58"/>
        <v>150</v>
      </c>
      <c r="L155" s="26">
        <f t="shared" ca="1" si="58"/>
        <v>135</v>
      </c>
      <c r="M155" s="26">
        <f t="shared" ca="1" si="58"/>
        <v>120</v>
      </c>
      <c r="N155" s="26">
        <f t="shared" ca="1" si="58"/>
        <v>105</v>
      </c>
      <c r="O155" s="26">
        <f t="shared" ca="1" si="58"/>
        <v>90</v>
      </c>
      <c r="P155" s="26">
        <f t="shared" ca="1" si="58"/>
        <v>75</v>
      </c>
      <c r="Q155" s="26">
        <f t="shared" ca="1" si="58"/>
        <v>60</v>
      </c>
      <c r="R155" s="26">
        <f t="shared" ca="1" si="58"/>
        <v>45</v>
      </c>
      <c r="S155" s="26">
        <f t="shared" ca="1" si="58"/>
        <v>30</v>
      </c>
      <c r="T155" s="26">
        <f t="shared" ca="1" si="58"/>
        <v>15</v>
      </c>
      <c r="U155" s="26">
        <f t="shared" ca="1" si="58"/>
        <v>0</v>
      </c>
      <c r="V155" s="26">
        <f t="shared" ca="1" si="58"/>
        <v>345</v>
      </c>
      <c r="W155" s="26">
        <f t="shared" ca="1" si="58"/>
        <v>330</v>
      </c>
      <c r="X155" s="26">
        <f t="shared" ca="1" si="58"/>
        <v>315</v>
      </c>
      <c r="Y155" s="26">
        <f t="shared" ca="1" si="58"/>
        <v>300</v>
      </c>
      <c r="Z155" s="26">
        <f t="shared" ca="1" si="58"/>
        <v>285</v>
      </c>
      <c r="AA155" s="26">
        <f t="shared" ca="1" si="58"/>
        <v>270</v>
      </c>
      <c r="AB155" s="26">
        <f t="shared" ca="1" si="58"/>
        <v>255</v>
      </c>
      <c r="AC155" s="26">
        <f t="shared" ca="1" si="58"/>
        <v>240</v>
      </c>
      <c r="AD155" s="26">
        <f t="shared" ca="1" si="58"/>
        <v>225</v>
      </c>
      <c r="AE155" s="26">
        <f t="shared" ca="1" si="58"/>
        <v>210</v>
      </c>
      <c r="AF155" s="26">
        <f t="shared" ca="1" si="58"/>
        <v>195</v>
      </c>
      <c r="AG155" s="26">
        <f t="shared" ca="1" si="58"/>
        <v>180</v>
      </c>
      <c r="AH155" s="26">
        <f t="shared" ca="1" si="58"/>
        <v>165</v>
      </c>
      <c r="AI155" s="26">
        <f t="shared" ca="1" si="58"/>
        <v>150</v>
      </c>
      <c r="AJ155" s="26">
        <f t="shared" ca="1" si="58"/>
        <v>135</v>
      </c>
      <c r="AK155" s="26">
        <f t="shared" ca="1" si="58"/>
        <v>120</v>
      </c>
      <c r="AL155" s="26">
        <f t="shared" ca="1" si="58"/>
        <v>105</v>
      </c>
      <c r="AM155" s="26">
        <f t="shared" ca="1" si="58"/>
        <v>90</v>
      </c>
      <c r="AN155" s="26">
        <f t="shared" ca="1" si="58"/>
        <v>75</v>
      </c>
      <c r="AO155" s="26">
        <f t="shared" ca="1" si="58"/>
        <v>60</v>
      </c>
      <c r="AP155" s="26">
        <f t="shared" ca="1" si="58"/>
        <v>45</v>
      </c>
      <c r="AQ155" s="26">
        <f t="shared" ca="1" si="58"/>
        <v>30</v>
      </c>
      <c r="AR155" s="26">
        <f t="shared" ca="1" si="58"/>
        <v>15</v>
      </c>
      <c r="AS155" s="26">
        <f t="shared" ca="1" si="58"/>
        <v>0</v>
      </c>
      <c r="AT155" s="26">
        <f t="shared" ca="1" si="58"/>
        <v>345</v>
      </c>
    </row>
    <row r="156" spans="2:46" s="26" customFormat="1" x14ac:dyDescent="0.35">
      <c r="B156" s="76" t="s">
        <v>138</v>
      </c>
      <c r="D156" s="30"/>
      <c r="I156" s="76">
        <f t="shared" ref="I156:AT156" ca="1" si="59">I107</f>
        <v>180</v>
      </c>
      <c r="J156" s="76">
        <f t="shared" ca="1" si="59"/>
        <v>165</v>
      </c>
      <c r="K156" s="76">
        <f t="shared" ca="1" si="59"/>
        <v>150</v>
      </c>
      <c r="L156" s="76">
        <f t="shared" ca="1" si="59"/>
        <v>135</v>
      </c>
      <c r="M156" s="76">
        <f t="shared" ca="1" si="59"/>
        <v>120</v>
      </c>
      <c r="N156" s="76">
        <f t="shared" ca="1" si="59"/>
        <v>105</v>
      </c>
      <c r="O156" s="76">
        <f t="shared" ca="1" si="59"/>
        <v>90</v>
      </c>
      <c r="P156" s="76">
        <f t="shared" ca="1" si="59"/>
        <v>75</v>
      </c>
      <c r="Q156" s="76">
        <f t="shared" ca="1" si="59"/>
        <v>60</v>
      </c>
      <c r="R156" s="76">
        <f t="shared" ca="1" si="59"/>
        <v>45</v>
      </c>
      <c r="S156" s="76">
        <f t="shared" ca="1" si="59"/>
        <v>30</v>
      </c>
      <c r="T156" s="76">
        <f t="shared" ca="1" si="59"/>
        <v>15</v>
      </c>
      <c r="U156" s="76">
        <f t="shared" ca="1" si="59"/>
        <v>0</v>
      </c>
      <c r="V156" s="76">
        <f t="shared" ca="1" si="59"/>
        <v>345</v>
      </c>
      <c r="W156" s="76">
        <f t="shared" ca="1" si="59"/>
        <v>330</v>
      </c>
      <c r="X156" s="76">
        <f t="shared" ca="1" si="59"/>
        <v>315</v>
      </c>
      <c r="Y156" s="76">
        <f t="shared" ca="1" si="59"/>
        <v>300</v>
      </c>
      <c r="Z156" s="76">
        <f t="shared" ca="1" si="59"/>
        <v>285</v>
      </c>
      <c r="AA156" s="76">
        <f t="shared" ca="1" si="59"/>
        <v>270</v>
      </c>
      <c r="AB156" s="76">
        <f t="shared" ca="1" si="59"/>
        <v>255</v>
      </c>
      <c r="AC156" s="76">
        <f t="shared" ca="1" si="59"/>
        <v>240</v>
      </c>
      <c r="AD156" s="76">
        <f t="shared" ca="1" si="59"/>
        <v>225</v>
      </c>
      <c r="AE156" s="76">
        <f t="shared" ca="1" si="59"/>
        <v>210</v>
      </c>
      <c r="AF156" s="76">
        <f t="shared" ca="1" si="59"/>
        <v>195</v>
      </c>
      <c r="AG156" s="76">
        <f t="shared" ca="1" si="59"/>
        <v>180</v>
      </c>
      <c r="AH156" s="76">
        <f t="shared" ca="1" si="59"/>
        <v>165</v>
      </c>
      <c r="AI156" s="76">
        <f t="shared" ca="1" si="59"/>
        <v>150</v>
      </c>
      <c r="AJ156" s="76">
        <f t="shared" ca="1" si="59"/>
        <v>135</v>
      </c>
      <c r="AK156" s="76">
        <f t="shared" ca="1" si="59"/>
        <v>120</v>
      </c>
      <c r="AL156" s="76">
        <f t="shared" ca="1" si="59"/>
        <v>105</v>
      </c>
      <c r="AM156" s="76">
        <f t="shared" ca="1" si="59"/>
        <v>90</v>
      </c>
      <c r="AN156" s="76">
        <f t="shared" ca="1" si="59"/>
        <v>75</v>
      </c>
      <c r="AO156" s="76">
        <f t="shared" ca="1" si="59"/>
        <v>60</v>
      </c>
      <c r="AP156" s="76">
        <f t="shared" ca="1" si="59"/>
        <v>45</v>
      </c>
      <c r="AQ156" s="76">
        <f t="shared" ca="1" si="59"/>
        <v>30</v>
      </c>
      <c r="AR156" s="76">
        <f t="shared" ca="1" si="59"/>
        <v>15</v>
      </c>
      <c r="AS156" s="76">
        <f t="shared" ca="1" si="59"/>
        <v>0</v>
      </c>
      <c r="AT156" s="76">
        <f t="shared" ca="1" si="59"/>
        <v>345</v>
      </c>
    </row>
    <row r="157" spans="2:46" x14ac:dyDescent="0.35">
      <c r="B157" s="26" t="s">
        <v>139</v>
      </c>
      <c r="D157" s="30"/>
      <c r="E157" s="32"/>
      <c r="I157" s="26">
        <f t="shared" ref="I157:AT157" ca="1" si="60">SUM(I158:I160)</f>
        <v>170</v>
      </c>
      <c r="J157" s="26">
        <f t="shared" ca="1" si="60"/>
        <v>891.68408764367814</v>
      </c>
      <c r="K157" s="26">
        <f t="shared" ca="1" si="60"/>
        <v>915.38885237068973</v>
      </c>
      <c r="L157" s="26">
        <f t="shared" ca="1" si="60"/>
        <v>941.1427261393676</v>
      </c>
      <c r="M157" s="26">
        <f t="shared" ca="1" si="60"/>
        <v>968.97453240182199</v>
      </c>
      <c r="N157" s="26">
        <f t="shared" ca="1" si="60"/>
        <v>1135.8888568948375</v>
      </c>
      <c r="O157" s="26">
        <f t="shared" ca="1" si="60"/>
        <v>1164.54944426271</v>
      </c>
      <c r="P157" s="26">
        <f t="shared" ca="1" si="60"/>
        <v>994.94347585813557</v>
      </c>
      <c r="Q157" s="26">
        <f t="shared" ca="1" si="60"/>
        <v>1088.5746697795744</v>
      </c>
      <c r="R157" s="26">
        <f t="shared" ca="1" si="60"/>
        <v>1122.5089886711492</v>
      </c>
      <c r="S157" s="26">
        <f t="shared" ca="1" si="60"/>
        <v>1158.2508252110499</v>
      </c>
      <c r="T157" s="26">
        <f t="shared" ca="1" si="60"/>
        <v>1195.8255527503454</v>
      </c>
      <c r="U157" s="26">
        <f t="shared" ca="1" si="60"/>
        <v>1365.4991307390378</v>
      </c>
      <c r="V157" s="26">
        <f t="shared" ca="1" si="60"/>
        <v>1043.2007848986495</v>
      </c>
      <c r="W157" s="26">
        <f t="shared" ca="1" si="60"/>
        <v>1082.7823983014064</v>
      </c>
      <c r="X157" s="26">
        <f t="shared" ca="1" si="60"/>
        <v>1124.2704565945201</v>
      </c>
      <c r="Y157" s="26">
        <f t="shared" ca="1" si="60"/>
        <v>1167.6918104309686</v>
      </c>
      <c r="Z157" s="26">
        <f t="shared" ca="1" si="60"/>
        <v>1349.7624469697523</v>
      </c>
      <c r="AA157" s="26">
        <f t="shared" ca="1" si="60"/>
        <v>1397.1324287164357</v>
      </c>
      <c r="AB157" s="26">
        <f t="shared" ca="1" si="60"/>
        <v>1446.5184978836669</v>
      </c>
      <c r="AC157" s="26">
        <f t="shared" ca="1" si="60"/>
        <v>1569.3177223852765</v>
      </c>
      <c r="AD157" s="26">
        <f t="shared" ca="1" si="60"/>
        <v>1622.8214395370071</v>
      </c>
      <c r="AE157" s="26">
        <f t="shared" ca="1" si="60"/>
        <v>1678.4275034599393</v>
      </c>
      <c r="AF157" s="26">
        <f t="shared" ca="1" si="60"/>
        <v>1736.1654623772483</v>
      </c>
      <c r="AG157" s="26">
        <f t="shared" ca="1" si="60"/>
        <v>1947.2719763182856</v>
      </c>
      <c r="AH157" s="26">
        <f t="shared" ca="1" si="60"/>
        <v>2005.1518112642807</v>
      </c>
      <c r="AI157" s="26">
        <f t="shared" ca="1" si="60"/>
        <v>2065.217775454877</v>
      </c>
      <c r="AJ157" s="26">
        <f t="shared" ca="1" si="60"/>
        <v>2127.5007080079631</v>
      </c>
      <c r="AK157" s="26">
        <f t="shared" ca="1" si="60"/>
        <v>2192.0318734136727</v>
      </c>
      <c r="AL157" s="26">
        <f t="shared" ca="1" si="60"/>
        <v>2417.4859577627881</v>
      </c>
      <c r="AM157" s="26">
        <f t="shared" ca="1" si="60"/>
        <v>2486.6091128006915</v>
      </c>
      <c r="AN157" s="26">
        <f t="shared" ca="1" si="60"/>
        <v>2558.0769045641819</v>
      </c>
      <c r="AO157" s="26">
        <f t="shared" ca="1" si="60"/>
        <v>2714.7610323845129</v>
      </c>
      <c r="AP157" s="26">
        <f t="shared" ca="1" si="60"/>
        <v>2791.0176262698865</v>
      </c>
      <c r="AQ157" s="26">
        <f t="shared" ca="1" si="60"/>
        <v>2869.7193018262442</v>
      </c>
      <c r="AR157" s="26">
        <f t="shared" ca="1" si="60"/>
        <v>2950.9004673541658</v>
      </c>
      <c r="AS157" s="26">
        <f t="shared" ca="1" si="60"/>
        <v>3210.1234391640573</v>
      </c>
      <c r="AT157" s="26">
        <f t="shared" ca="1" si="60"/>
        <v>2931.4549019481797</v>
      </c>
    </row>
    <row r="158" spans="2:46" x14ac:dyDescent="0.35">
      <c r="B158" t="s">
        <v>140</v>
      </c>
      <c r="C158" s="29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</row>
    <row r="159" spans="2:46" s="28" customFormat="1" x14ac:dyDescent="0.35">
      <c r="B159" t="s">
        <v>141</v>
      </c>
      <c r="C159" s="29">
        <v>0</v>
      </c>
      <c r="D159" s="29"/>
      <c r="E159" s="29"/>
      <c r="F159" s="29"/>
      <c r="G159" s="29"/>
      <c r="H159" s="29"/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</row>
    <row r="160" spans="2:46" x14ac:dyDescent="0.35">
      <c r="B160" t="s">
        <v>142</v>
      </c>
      <c r="C160" s="34">
        <f ca="1">I162-I156-I158-I159</f>
        <v>170</v>
      </c>
      <c r="I160" s="78">
        <f ca="1">IF(I1=DATE(2025,12,1),$C$160,H160+I13*Предпосылки!$C$7-I52-I68--I84-I89-I93-I59-I97-I103-I124-I151+(I164-H164)+(I167-H167)+(I169-H169))</f>
        <v>170</v>
      </c>
      <c r="J160" s="78">
        <f ca="1">IF(J1=DATE(2025,12,1),$C$160,I160+J13*Предпосылки!$C$7-J52-J68-J77-J84-J89-J93-J59-J97-J103-J124-J151+(J164-I164)+(J167-I167)+(J169-I169))</f>
        <v>891.68408764367814</v>
      </c>
      <c r="K160" s="78">
        <f ca="1">IF(K1=DATE(2025,12,1),$C$160,J160+K13*Предпосылки!$C$7-K52-K68-K77-K84-K89-K93-K59-K97-K103-K124-K151+(K164-J164)+(K167-J167)+(K169-J169))</f>
        <v>915.38885237068973</v>
      </c>
      <c r="L160" s="78">
        <f ca="1">IF(L1=DATE(2025,12,1),$C$160,K160+L13*Предпосылки!$C$7-L52-L68-L77-L84-L89-L93-L59-L97-L103-L124-L151+(L164-K164)+(L167-K167)+(L169-K169))</f>
        <v>941.1427261393676</v>
      </c>
      <c r="M160" s="78">
        <f ca="1">IF(M1=DATE(2025,12,1),$C$160,L160+M13*Предпосылки!$C$7-M52-M68-M77-M84-M89-M93-M59-M97-M103-M124-M151+(M164-L164)+(M167-L167)+(M169-L169))</f>
        <v>968.97453240182199</v>
      </c>
      <c r="N160" s="78">
        <f ca="1">IF(N1=DATE(2025,12,1),$C$160,M160+N13*Предпосылки!$C$7-N52-N68-N77-N84-N89-N93-N59-N97-N103-N124-N151+(N164-M164)+(N167-M167)+(N169-M169))</f>
        <v>1135.8888568948375</v>
      </c>
      <c r="O160" s="78">
        <f ca="1">IF(O1=DATE(2025,12,1),$C$160,N160+O13*Предпосылки!$C$7-O52-O68-O77-O84-O89-O93-O59-O97-O103-O124-O151+(O164-N164)+(O167-N167)+(O169-N169))</f>
        <v>1164.54944426271</v>
      </c>
      <c r="P160" s="78">
        <f ca="1">IF(P1=DATE(2025,12,1),$C$160,O160+P13*Предпосылки!$C$7-P52-P68-P77-P84-P89-P93-P59-P97-P103-P124-P151+(P164-O164)+(P167-O167)+(P169-O169))</f>
        <v>994.94347585813557</v>
      </c>
      <c r="Q160" s="78">
        <f ca="1">IF(Q1=DATE(2025,12,1),$C$160,P160+Q13*Предпосылки!$C$7-Q52-Q68-Q77-Q84-Q89-Q93-Q59-Q97-Q103-Q124-Q151+(Q164-P164)+(Q167-P167)+(Q169-P169))</f>
        <v>1088.5746697795744</v>
      </c>
      <c r="R160" s="78">
        <f ca="1">IF(R1=DATE(2025,12,1),$C$160,Q160+R13*Предпосылки!$C$7-R52-R68-R77-R84-R89-R93-R59-R97-R103-R124-R151+(R164-Q164)+(R167-Q167)+(R169-Q169))</f>
        <v>1122.5089886711492</v>
      </c>
      <c r="S160" s="78">
        <f ca="1">IF(S1=DATE(2025,12,1),$C$160,R160+S13*Предпосылки!$C$7-S52-S68-S77-S84-S89-S93-S59-S97-S103-S124-S151+(S164-R164)+(S167-R167)+(S169-R169))</f>
        <v>1158.2508252110499</v>
      </c>
      <c r="T160" s="78">
        <f ca="1">IF(T1=DATE(2025,12,1),$C$160,S160+T13*Предпосылки!$C$7-T52-T68-T77-T84-T89-T93-T59-T97-T103-T124-T151+(T164-S164)+(T167-S167)+(T169-S169))</f>
        <v>1195.8255527503454</v>
      </c>
      <c r="U160" s="78">
        <f ca="1">IF(U1=DATE(2025,12,1),$C$160,T160+U13*Предпосылки!$C$7-U52-U68-U77-U84-U89-U93-U59-U97-U103-U124-U151+(U164-T164)+(U167-T167)+(U169-T169))</f>
        <v>1365.4991307390378</v>
      </c>
      <c r="V160" s="78">
        <f ca="1">IF(V1=DATE(2025,12,1),$C$160,U160+V13*Предпосылки!$C$7-V52-V68-V77-V84-V89-V93-V59-V97-V103-V124-V151+(V164-U164)+(V167-U167)+(V169-U169))</f>
        <v>1043.2007848986495</v>
      </c>
      <c r="W160" s="78">
        <f ca="1">IF(W1=DATE(2025,12,1),$C$160,V160+W13*Предпосылки!$C$7-W52-W68-W77-W84-W89-W93-W59-W97-W103-W124-W151+(W164-V164)+(W167-V167)+(W169-V169))</f>
        <v>1082.7823983014064</v>
      </c>
      <c r="X160" s="78">
        <f ca="1">IF(X1=DATE(2025,12,1),$C$160,W160+X13*Предпосылки!$C$7-X52-X68-X77-X84-X89-X93-X59-X97-X103-X124-X151+(X164-W164)+(X167-W167)+(X169-W169))</f>
        <v>1124.2704565945201</v>
      </c>
      <c r="Y160" s="78">
        <f ca="1">IF(Y1=DATE(2025,12,1),$C$160,X160+Y13*Предпосылки!$C$7-Y52-Y68-Y77-Y84-Y89-Y93-Y59-Y97-Y103-Y124-Y151+(Y164-X164)+(Y167-X167)+(Y169-X169))</f>
        <v>1167.6918104309686</v>
      </c>
      <c r="Z160" s="78">
        <f ca="1">IF(Z1=DATE(2025,12,1),$C$160,Y160+Z13*Предпосылки!$C$7-Z52-Z68-Z77-Z84-Z89-Z93-Z59-Z97-Z103-Z124-Z151+(Z164-Y164)+(Z167-Y167)+(Z169-Y169))</f>
        <v>1349.7624469697523</v>
      </c>
      <c r="AA160" s="78">
        <f ca="1">IF(AA1=DATE(2025,12,1),$C$160,Z160+AA13*Предпосылки!$C$7-AA52-AA68-AA77-AA84-AA89-AA93-AA59-AA97-AA103-AA124-AA151+(AA164-Z164)+(AA167-Z167)+(AA169-Z169))</f>
        <v>1397.1324287164357</v>
      </c>
      <c r="AB160" s="78">
        <f ca="1">IF(AB1=DATE(2025,12,1),$C$160,AA160+AB13*Предпосылки!$C$7-AB52-AB68-AB77-AB84-AB89-AB93-AB59-AB97-AB103-AB124-AB151+(AB164-AA164)+(AB167-AA167)+(AB169-AA169))</f>
        <v>1446.5184978836669</v>
      </c>
      <c r="AC160" s="78">
        <f ca="1">IF(AC1=DATE(2025,12,1),$C$160,AB160+AC13*Предпосылки!$C$7-AC52-AC68-AC77-AC84-AC89-AC93-AC59-AC97-AC103-AC124-AC151+(AC164-AB164)+(AC167-AB167)+(AC169-AB169))</f>
        <v>1569.3177223852765</v>
      </c>
      <c r="AD160" s="78">
        <f ca="1">IF(AD1=DATE(2025,12,1),$C$160,AC160+AD13*Предпосылки!$C$7-AD52-AD68-AD77-AD84-AD89-AD93-AD59-AD97-AD103-AD124-AD151+(AD164-AC164)+(AD167-AC167)+(AD169-AC169))</f>
        <v>1622.8214395370071</v>
      </c>
      <c r="AE160" s="78">
        <f ca="1">IF(AE1=DATE(2025,12,1),$C$160,AD160+AE13*Предпосылки!$C$7-AE52-AE68-AE77-AE84-AE89-AE93-AE59-AE97-AE103-AE124-AE151+(AE164-AD164)+(AE167-AD167)+(AE169-AD169))</f>
        <v>1678.4275034599393</v>
      </c>
      <c r="AF160" s="78">
        <f ca="1">IF(AF1=DATE(2025,12,1),$C$160,AE160+AF13*Предпосылки!$C$7-AF52-AF68-AF77-AF84-AF89-AF93-AF59-AF97-AF103-AF124-AF151+(AF164-AE164)+(AF167-AE167)+(AF169-AE169))</f>
        <v>1736.1654623772483</v>
      </c>
      <c r="AG160" s="78">
        <f ca="1">IF(AG1=DATE(2025,12,1),$C$160,AF160+AG13*Предпосылки!$C$7-AG52-AG68-AG77-AG84-AG89-AG93-AG59-AG97-AG103-AG124-AG151+(AG164-AF164)+(AG167-AF167)+(AG169-AF169))</f>
        <v>1947.2719763182856</v>
      </c>
      <c r="AH160" s="78">
        <f ca="1">IF(AH1=DATE(2025,12,1),$C$160,AG160+AH13*Предпосылки!$C$7-AH52-AH68-AH77-AH84-AH89-AH93-AH59-AH97-AH103-AH124-AH151+(AH164-AG164)+(AH167-AG167)+(AH169-AG169))</f>
        <v>2005.1518112642807</v>
      </c>
      <c r="AI160" s="78">
        <f ca="1">IF(AI1=DATE(2025,12,1),$C$160,AH160+AI13*Предпосылки!$C$7-AI52-AI68-AI77-AI84-AI89-AI93-AI59-AI97-AI103-AI124-AI151+(AI164-AH164)+(AI167-AH167)+(AI169-AH169))</f>
        <v>2065.217775454877</v>
      </c>
      <c r="AJ160" s="78">
        <f ca="1">IF(AJ1=DATE(2025,12,1),$C$160,AI160+AJ13*Предпосылки!$C$7-AJ52-AJ68-AJ77-AJ84-AJ89-AJ93-AJ59-AJ97-AJ103-AJ124-AJ151+(AJ164-AI164)+(AJ167-AI167)+(AJ169-AI169))</f>
        <v>2127.5007080079631</v>
      </c>
      <c r="AK160" s="78">
        <f ca="1">IF(AK1=DATE(2025,12,1),$C$160,AJ160+AK13*Предпосылки!$C$7-AK52-AK68-AK77-AK84-AK89-AK93-AK59-AK97-AK103-AK124-AK151+(AK164-AJ164)+(AK167-AJ167)+(AK169-AJ169))</f>
        <v>2192.0318734136727</v>
      </c>
      <c r="AL160" s="78">
        <f ca="1">IF(AL1=DATE(2025,12,1),$C$160,AK160+AL13*Предпосылки!$C$7-AL52-AL68-AL77-AL84-AL89-AL93-AL59-AL97-AL103-AL124-AL151+(AL164-AK164)+(AL167-AK167)+(AL169-AK169))</f>
        <v>2417.4859577627881</v>
      </c>
      <c r="AM160" s="78">
        <f ca="1">IF(AM1=DATE(2025,12,1),$C$160,AL160+AM13*Предпосылки!$C$7-AM52-AM68-AM77-AM84-AM89-AM93-AM59-AM97-AM103-AM124-AM151+(AM164-AL164)+(AM167-AL167)+(AM169-AL169))</f>
        <v>2486.6091128006915</v>
      </c>
      <c r="AN160" s="78">
        <f ca="1">IF(AN1=DATE(2025,12,1),$C$160,AM160+AN13*Предпосылки!$C$7-AN52-AN68-AN77-AN84-AN89-AN93-AN59-AN97-AN103-AN124-AN151+(AN164-AM164)+(AN167-AM167)+(AN169-AM169))</f>
        <v>2558.0769045641819</v>
      </c>
      <c r="AO160" s="78">
        <f ca="1">IF(AO1=DATE(2025,12,1),$C$160,AN160+AO13*Предпосылки!$C$7-AO52-AO68-AO77-AO84-AO89-AO93-AO59-AO97-AO103-AO124-AO151+(AO164-AN164)+(AO167-AN167)+(AO169-AN169))</f>
        <v>2714.7610323845129</v>
      </c>
      <c r="AP160" s="78">
        <f ca="1">IF(AP1=DATE(2025,12,1),$C$160,AO160+AP13*Предпосылки!$C$7-AP52-AP68-AP77-AP84-AP89-AP93-AP59-AP97-AP103-AP124-AP151+(AP164-AO164)+(AP167-AO167)+(AP169-AO169))</f>
        <v>2791.0176262698865</v>
      </c>
      <c r="AQ160" s="78">
        <f ca="1">IF(AQ1=DATE(2025,12,1),$C$160,AP160+AQ13*Предпосылки!$C$7-AQ52-AQ68-AQ77-AQ84-AQ89-AQ93-AQ59-AQ97-AQ103-AQ124-AQ151+(AQ164-AP164)+(AQ167-AP167)+(AQ169-AP169))</f>
        <v>2869.7193018262442</v>
      </c>
      <c r="AR160" s="78">
        <f ca="1">IF(AR1=DATE(2025,12,1),$C$160,AQ160+AR13*Предпосылки!$C$7-AR52-AR68-AR77-AR84-AR89-AR93-AR59-AR97-AR103-AR124-AR151+(AR164-AQ164)+(AR167-AQ167)+(AR169-AQ169))</f>
        <v>2950.9004673541658</v>
      </c>
      <c r="AS160" s="78">
        <f ca="1">IF(AS1=DATE(2025,12,1),$C$160,AR160+AS13*Предпосылки!$C$7-AS52-AS68-AS77-AS84-AS89-AS93-AS59-AS97-AS103-AS124-AS151+(AS164-AR164)+(AS167-AR167)+(AS169-AR169))</f>
        <v>3210.1234391640573</v>
      </c>
      <c r="AT160" s="78">
        <f ca="1">IF(AT1=DATE(2025,12,1),$C$160,AS160+AT13*Предпосылки!$C$7-AT52-AT68-AT77-AT84-AT89-AT93-AT59-AT97-AT103-AT124-AT151+(AT164-AS164)+(AT167-AS167)+(AT169-AS169))</f>
        <v>2931.4549019481797</v>
      </c>
    </row>
    <row r="161" spans="2:46" x14ac:dyDescent="0.35"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</row>
    <row r="162" spans="2:46" s="73" customFormat="1" x14ac:dyDescent="0.35">
      <c r="B162" s="75" t="s">
        <v>143</v>
      </c>
      <c r="C162" s="74" t="s">
        <v>14</v>
      </c>
      <c r="I162" s="75">
        <f t="shared" ref="I162:AT162" ca="1" si="61">SUM(I163,I168)</f>
        <v>350</v>
      </c>
      <c r="J162" s="75">
        <f t="shared" ca="1" si="61"/>
        <v>1056.6840876436781</v>
      </c>
      <c r="K162" s="75">
        <f t="shared" ca="1" si="61"/>
        <v>1065.3888523706896</v>
      </c>
      <c r="L162" s="75">
        <f t="shared" ca="1" si="61"/>
        <v>1076.1427261393678</v>
      </c>
      <c r="M162" s="75">
        <f t="shared" ca="1" si="61"/>
        <v>1088.9745324018224</v>
      </c>
      <c r="N162" s="75">
        <f t="shared" ca="1" si="61"/>
        <v>1240.888856894838</v>
      </c>
      <c r="O162" s="75">
        <f t="shared" ca="1" si="61"/>
        <v>1254.5494442627105</v>
      </c>
      <c r="P162" s="75">
        <f t="shared" ca="1" si="61"/>
        <v>1069.943475858136</v>
      </c>
      <c r="Q162" s="75">
        <f t="shared" ca="1" si="61"/>
        <v>1148.5746697795746</v>
      </c>
      <c r="R162" s="75">
        <f t="shared" ca="1" si="61"/>
        <v>1167.5089886711494</v>
      </c>
      <c r="S162" s="75">
        <f t="shared" ca="1" si="61"/>
        <v>1188.2508252110501</v>
      </c>
      <c r="T162" s="75">
        <f t="shared" ca="1" si="61"/>
        <v>1210.8255527503454</v>
      </c>
      <c r="U162" s="75">
        <f t="shared" ca="1" si="61"/>
        <v>1365.4991307390376</v>
      </c>
      <c r="V162" s="75">
        <f t="shared" ca="1" si="61"/>
        <v>1388.2007848986493</v>
      </c>
      <c r="W162" s="75">
        <f t="shared" ca="1" si="61"/>
        <v>1412.7823983014059</v>
      </c>
      <c r="X162" s="75">
        <f t="shared" ca="1" si="61"/>
        <v>1439.2704565945196</v>
      </c>
      <c r="Y162" s="75">
        <f t="shared" ca="1" si="61"/>
        <v>1467.691810430968</v>
      </c>
      <c r="Z162" s="75">
        <f t="shared" ca="1" si="61"/>
        <v>1634.7624469697516</v>
      </c>
      <c r="AA162" s="75">
        <f t="shared" ca="1" si="61"/>
        <v>1667.132428716435</v>
      </c>
      <c r="AB162" s="75">
        <f t="shared" ca="1" si="61"/>
        <v>1701.518497883666</v>
      </c>
      <c r="AC162" s="75">
        <f t="shared" ca="1" si="61"/>
        <v>1809.3177223852756</v>
      </c>
      <c r="AD162" s="75">
        <f t="shared" ca="1" si="61"/>
        <v>1847.821439537006</v>
      </c>
      <c r="AE162" s="75">
        <f t="shared" ca="1" si="61"/>
        <v>1888.4275034599382</v>
      </c>
      <c r="AF162" s="75">
        <f t="shared" ca="1" si="61"/>
        <v>1931.1654623772474</v>
      </c>
      <c r="AG162" s="75">
        <f t="shared" ca="1" si="61"/>
        <v>2127.2719763182849</v>
      </c>
      <c r="AH162" s="75">
        <f t="shared" ca="1" si="61"/>
        <v>2170.1518112642807</v>
      </c>
      <c r="AI162" s="75">
        <f t="shared" ca="1" si="61"/>
        <v>2215.2177754548766</v>
      </c>
      <c r="AJ162" s="75">
        <f t="shared" ca="1" si="61"/>
        <v>2262.5007080079627</v>
      </c>
      <c r="AK162" s="75">
        <f t="shared" ca="1" si="61"/>
        <v>2312.0318734136717</v>
      </c>
      <c r="AL162" s="75">
        <f t="shared" ca="1" si="61"/>
        <v>2522.4859577627876</v>
      </c>
      <c r="AM162" s="75">
        <f t="shared" ca="1" si="61"/>
        <v>2576.6091128006901</v>
      </c>
      <c r="AN162" s="75">
        <f t="shared" ca="1" si="61"/>
        <v>2633.0769045641809</v>
      </c>
      <c r="AO162" s="75">
        <f t="shared" ca="1" si="61"/>
        <v>2774.761032384512</v>
      </c>
      <c r="AP162" s="75">
        <f t="shared" ca="1" si="61"/>
        <v>2836.0176262698851</v>
      </c>
      <c r="AQ162" s="75">
        <f t="shared" ca="1" si="61"/>
        <v>2899.7193018262433</v>
      </c>
      <c r="AR162" s="75">
        <f t="shared" ca="1" si="61"/>
        <v>2965.9004673541649</v>
      </c>
      <c r="AS162" s="75">
        <f t="shared" ca="1" si="61"/>
        <v>3210.1234391640573</v>
      </c>
      <c r="AT162" s="75">
        <f t="shared" ca="1" si="61"/>
        <v>3276.4549019481797</v>
      </c>
    </row>
    <row r="163" spans="2:46" ht="15" customHeight="1" x14ac:dyDescent="0.35">
      <c r="B163" s="26" t="s">
        <v>144</v>
      </c>
      <c r="I163" s="27">
        <f t="shared" ref="I163:AT163" ca="1" si="62">SUM(I164:I165)</f>
        <v>-50</v>
      </c>
      <c r="J163" s="27">
        <f t="shared" ca="1" si="62"/>
        <v>656.68408764367814</v>
      </c>
      <c r="K163" s="27">
        <f t="shared" ca="1" si="62"/>
        <v>665.38885237068962</v>
      </c>
      <c r="L163" s="27">
        <f t="shared" ca="1" si="62"/>
        <v>676.14272613936782</v>
      </c>
      <c r="M163" s="27">
        <f t="shared" ca="1" si="62"/>
        <v>688.97453240182244</v>
      </c>
      <c r="N163" s="27">
        <f t="shared" ca="1" si="62"/>
        <v>840.888856894838</v>
      </c>
      <c r="O163" s="27">
        <f t="shared" ca="1" si="62"/>
        <v>854.54944426271038</v>
      </c>
      <c r="P163" s="27">
        <f t="shared" ca="1" si="62"/>
        <v>869.94347585813591</v>
      </c>
      <c r="Q163" s="27">
        <f t="shared" ca="1" si="62"/>
        <v>948.57466977957461</v>
      </c>
      <c r="R163" s="27">
        <f t="shared" ca="1" si="62"/>
        <v>967.5089886711495</v>
      </c>
      <c r="S163" s="27">
        <f t="shared" ca="1" si="62"/>
        <v>988.25082521105014</v>
      </c>
      <c r="T163" s="27">
        <f t="shared" ca="1" si="62"/>
        <v>1010.8255527503454</v>
      </c>
      <c r="U163" s="27">
        <f t="shared" ca="1" si="62"/>
        <v>1165.4991307390376</v>
      </c>
      <c r="V163" s="27">
        <f t="shared" ca="1" si="62"/>
        <v>1188.2007848986493</v>
      </c>
      <c r="W163" s="27">
        <f t="shared" ca="1" si="62"/>
        <v>1212.7823983014059</v>
      </c>
      <c r="X163" s="27">
        <f t="shared" ca="1" si="62"/>
        <v>1239.2704565945196</v>
      </c>
      <c r="Y163" s="27">
        <f t="shared" ca="1" si="62"/>
        <v>1267.691810430968</v>
      </c>
      <c r="Z163" s="27">
        <f t="shared" ca="1" si="62"/>
        <v>1434.7624469697516</v>
      </c>
      <c r="AA163" s="27">
        <f t="shared" ca="1" si="62"/>
        <v>1467.132428716435</v>
      </c>
      <c r="AB163" s="27">
        <f t="shared" ca="1" si="62"/>
        <v>1501.518497883666</v>
      </c>
      <c r="AC163" s="27">
        <f t="shared" ca="1" si="62"/>
        <v>1609.3177223852756</v>
      </c>
      <c r="AD163" s="27">
        <f t="shared" ca="1" si="62"/>
        <v>1647.821439537006</v>
      </c>
      <c r="AE163" s="27">
        <f t="shared" ca="1" si="62"/>
        <v>1688.4275034599382</v>
      </c>
      <c r="AF163" s="27">
        <f t="shared" ca="1" si="62"/>
        <v>1731.1654623772474</v>
      </c>
      <c r="AG163" s="27">
        <f t="shared" ca="1" si="62"/>
        <v>1927.2719763182849</v>
      </c>
      <c r="AH163" s="27">
        <f t="shared" ca="1" si="62"/>
        <v>1970.1518112642805</v>
      </c>
      <c r="AI163" s="27">
        <f t="shared" ca="1" si="62"/>
        <v>2015.2177754548768</v>
      </c>
      <c r="AJ163" s="27">
        <f t="shared" ca="1" si="62"/>
        <v>2062.5007080079627</v>
      </c>
      <c r="AK163" s="27">
        <f t="shared" ca="1" si="62"/>
        <v>2112.0318734136717</v>
      </c>
      <c r="AL163" s="27">
        <f t="shared" ca="1" si="62"/>
        <v>2322.4859577627876</v>
      </c>
      <c r="AM163" s="27">
        <f t="shared" ca="1" si="62"/>
        <v>2376.6091128006901</v>
      </c>
      <c r="AN163" s="27">
        <f t="shared" ca="1" si="62"/>
        <v>2433.0769045641809</v>
      </c>
      <c r="AO163" s="27">
        <f t="shared" ca="1" si="62"/>
        <v>2574.761032384512</v>
      </c>
      <c r="AP163" s="27">
        <f t="shared" ca="1" si="62"/>
        <v>2636.0176262698851</v>
      </c>
      <c r="AQ163" s="27">
        <f t="shared" ca="1" si="62"/>
        <v>2699.7193018262433</v>
      </c>
      <c r="AR163" s="27">
        <f t="shared" ca="1" si="62"/>
        <v>2765.9004673541649</v>
      </c>
      <c r="AS163" s="27">
        <f t="shared" ca="1" si="62"/>
        <v>3010.1234391640573</v>
      </c>
      <c r="AT163" s="27">
        <f t="shared" ca="1" si="62"/>
        <v>3076.4549019481797</v>
      </c>
    </row>
    <row r="164" spans="2:46" s="28" customFormat="1" x14ac:dyDescent="0.35">
      <c r="B164" t="s">
        <v>145</v>
      </c>
      <c r="C164" s="29">
        <v>100</v>
      </c>
      <c r="D164" s="92">
        <v>700</v>
      </c>
      <c r="E164" s="93">
        <v>46023</v>
      </c>
      <c r="F164" s="29"/>
      <c r="G164" s="29"/>
      <c r="H164" s="29"/>
      <c r="I164">
        <f>$C164</f>
        <v>100</v>
      </c>
      <c r="J164" s="94">
        <f t="shared" ref="J164:AT164" si="63">I164+IF(J$1=$E$164,$D$164,0)</f>
        <v>800</v>
      </c>
      <c r="K164" s="94">
        <f t="shared" si="63"/>
        <v>800</v>
      </c>
      <c r="L164" s="94">
        <f t="shared" si="63"/>
        <v>800</v>
      </c>
      <c r="M164" s="94">
        <f t="shared" si="63"/>
        <v>800</v>
      </c>
      <c r="N164" s="94">
        <f t="shared" si="63"/>
        <v>800</v>
      </c>
      <c r="O164" s="94">
        <f t="shared" si="63"/>
        <v>800</v>
      </c>
      <c r="P164" s="94">
        <f t="shared" si="63"/>
        <v>800</v>
      </c>
      <c r="Q164" s="94">
        <f t="shared" si="63"/>
        <v>800</v>
      </c>
      <c r="R164" s="94">
        <f t="shared" si="63"/>
        <v>800</v>
      </c>
      <c r="S164" s="94">
        <f t="shared" si="63"/>
        <v>800</v>
      </c>
      <c r="T164" s="94">
        <f t="shared" si="63"/>
        <v>800</v>
      </c>
      <c r="U164" s="94">
        <f t="shared" si="63"/>
        <v>800</v>
      </c>
      <c r="V164" s="94">
        <f t="shared" si="63"/>
        <v>800</v>
      </c>
      <c r="W164" s="94">
        <f t="shared" si="63"/>
        <v>800</v>
      </c>
      <c r="X164" s="94">
        <f t="shared" si="63"/>
        <v>800</v>
      </c>
      <c r="Y164" s="94">
        <f t="shared" si="63"/>
        <v>800</v>
      </c>
      <c r="Z164" s="94">
        <f t="shared" si="63"/>
        <v>800</v>
      </c>
      <c r="AA164" s="94">
        <f t="shared" si="63"/>
        <v>800</v>
      </c>
      <c r="AB164" s="94">
        <f t="shared" si="63"/>
        <v>800</v>
      </c>
      <c r="AC164" s="94">
        <f t="shared" si="63"/>
        <v>800</v>
      </c>
      <c r="AD164" s="94">
        <f t="shared" si="63"/>
        <v>800</v>
      </c>
      <c r="AE164" s="94">
        <f t="shared" si="63"/>
        <v>800</v>
      </c>
      <c r="AF164" s="94">
        <f t="shared" si="63"/>
        <v>800</v>
      </c>
      <c r="AG164" s="94">
        <f t="shared" si="63"/>
        <v>800</v>
      </c>
      <c r="AH164" s="94">
        <f t="shared" si="63"/>
        <v>800</v>
      </c>
      <c r="AI164" s="94">
        <f t="shared" si="63"/>
        <v>800</v>
      </c>
      <c r="AJ164" s="94">
        <f t="shared" si="63"/>
        <v>800</v>
      </c>
      <c r="AK164" s="94">
        <f t="shared" si="63"/>
        <v>800</v>
      </c>
      <c r="AL164" s="94">
        <f t="shared" si="63"/>
        <v>800</v>
      </c>
      <c r="AM164" s="94">
        <f t="shared" si="63"/>
        <v>800</v>
      </c>
      <c r="AN164" s="94">
        <f t="shared" si="63"/>
        <v>800</v>
      </c>
      <c r="AO164" s="94">
        <f t="shared" si="63"/>
        <v>800</v>
      </c>
      <c r="AP164" s="94">
        <f t="shared" si="63"/>
        <v>800</v>
      </c>
      <c r="AQ164" s="94">
        <f t="shared" si="63"/>
        <v>800</v>
      </c>
      <c r="AR164" s="94">
        <f t="shared" si="63"/>
        <v>800</v>
      </c>
      <c r="AS164" s="94">
        <f t="shared" si="63"/>
        <v>800</v>
      </c>
      <c r="AT164" s="94">
        <f t="shared" si="63"/>
        <v>800</v>
      </c>
    </row>
    <row r="165" spans="2:46" x14ac:dyDescent="0.35">
      <c r="B165" t="s">
        <v>146</v>
      </c>
      <c r="D165" s="33"/>
      <c r="I165">
        <f t="shared" ref="I165:AT165" ca="1" si="64">IF(I1=DATE(2025,12,1),I149,H165+I34)</f>
        <v>-150</v>
      </c>
      <c r="J165" s="30">
        <f t="shared" ca="1" si="64"/>
        <v>-143.3159123563218</v>
      </c>
      <c r="K165" s="30">
        <f t="shared" ca="1" si="64"/>
        <v>-134.61114762931032</v>
      </c>
      <c r="L165" s="30">
        <f t="shared" ca="1" si="64"/>
        <v>-123.85727386063212</v>
      </c>
      <c r="M165" s="30">
        <f t="shared" ca="1" si="64"/>
        <v>-111.0254675981775</v>
      </c>
      <c r="N165" s="30">
        <f t="shared" ca="1" si="64"/>
        <v>40.888856894837943</v>
      </c>
      <c r="O165" s="30">
        <f t="shared" ca="1" si="64"/>
        <v>54.549444262710367</v>
      </c>
      <c r="P165" s="30">
        <f t="shared" ca="1" si="64"/>
        <v>69.943475858135869</v>
      </c>
      <c r="Q165" s="30">
        <f t="shared" ca="1" si="64"/>
        <v>148.57466977957461</v>
      </c>
      <c r="R165" s="30">
        <f t="shared" ca="1" si="64"/>
        <v>167.50898867114947</v>
      </c>
      <c r="S165" s="30">
        <f t="shared" ca="1" si="64"/>
        <v>188.25082521105014</v>
      </c>
      <c r="T165" s="30">
        <f t="shared" ca="1" si="64"/>
        <v>210.82555275034537</v>
      </c>
      <c r="U165" s="30">
        <f t="shared" ca="1" si="64"/>
        <v>365.49913073903758</v>
      </c>
      <c r="V165" s="30">
        <f t="shared" ca="1" si="64"/>
        <v>388.20078489864932</v>
      </c>
      <c r="W165" s="30">
        <f t="shared" ca="1" si="64"/>
        <v>412.78239830140598</v>
      </c>
      <c r="X165" s="30">
        <f t="shared" ca="1" si="64"/>
        <v>439.27045659451954</v>
      </c>
      <c r="Y165" s="30">
        <f t="shared" ca="1" si="64"/>
        <v>467.69181043096785</v>
      </c>
      <c r="Z165" s="30">
        <f t="shared" ca="1" si="64"/>
        <v>634.76244696975164</v>
      </c>
      <c r="AA165" s="30">
        <f t="shared" ca="1" si="64"/>
        <v>667.13242871643502</v>
      </c>
      <c r="AB165" s="30">
        <f t="shared" ca="1" si="64"/>
        <v>701.51849788366599</v>
      </c>
      <c r="AC165" s="30">
        <f t="shared" ca="1" si="64"/>
        <v>809.3177223852756</v>
      </c>
      <c r="AD165" s="30">
        <f t="shared" ca="1" si="64"/>
        <v>847.82143953700609</v>
      </c>
      <c r="AE165" s="30">
        <f t="shared" ca="1" si="64"/>
        <v>888.42750345993829</v>
      </c>
      <c r="AF165" s="30">
        <f t="shared" ca="1" si="64"/>
        <v>931.16546237724742</v>
      </c>
      <c r="AG165" s="30">
        <f t="shared" ca="1" si="64"/>
        <v>1127.2719763182849</v>
      </c>
      <c r="AH165" s="30">
        <f t="shared" ca="1" si="64"/>
        <v>1170.1518112642805</v>
      </c>
      <c r="AI165" s="30">
        <f t="shared" ca="1" si="64"/>
        <v>1215.2177754548768</v>
      </c>
      <c r="AJ165" s="30">
        <f t="shared" ca="1" si="64"/>
        <v>1262.5007080079627</v>
      </c>
      <c r="AK165" s="30">
        <f t="shared" ca="1" si="64"/>
        <v>1312.0318734136717</v>
      </c>
      <c r="AL165" s="30">
        <f t="shared" ca="1" si="64"/>
        <v>1522.4859577627874</v>
      </c>
      <c r="AM165" s="30">
        <f t="shared" ca="1" si="64"/>
        <v>1576.6091128006904</v>
      </c>
      <c r="AN165" s="30">
        <f t="shared" ca="1" si="64"/>
        <v>1633.0769045641807</v>
      </c>
      <c r="AO165" s="30">
        <f t="shared" ca="1" si="64"/>
        <v>1774.7610323845117</v>
      </c>
      <c r="AP165" s="30">
        <f t="shared" ca="1" si="64"/>
        <v>1836.0176262698851</v>
      </c>
      <c r="AQ165" s="30">
        <f t="shared" ca="1" si="64"/>
        <v>1899.7193018262433</v>
      </c>
      <c r="AR165" s="30">
        <f t="shared" ca="1" si="64"/>
        <v>1965.9004673541647</v>
      </c>
      <c r="AS165" s="30">
        <f t="shared" ca="1" si="64"/>
        <v>2210.1234391640573</v>
      </c>
      <c r="AT165" s="30">
        <f t="shared" ca="1" si="64"/>
        <v>2276.4549019481797</v>
      </c>
    </row>
    <row r="166" spans="2:46" x14ac:dyDescent="0.35">
      <c r="B166" s="26" t="s">
        <v>147</v>
      </c>
      <c r="D166" s="33"/>
      <c r="I166">
        <f t="shared" ref="I166:AT166" si="65">SUM(I167)</f>
        <v>0</v>
      </c>
      <c r="J166">
        <f t="shared" si="65"/>
        <v>0</v>
      </c>
      <c r="K166">
        <f t="shared" si="65"/>
        <v>0</v>
      </c>
      <c r="L166">
        <f t="shared" si="65"/>
        <v>0</v>
      </c>
      <c r="M166">
        <f t="shared" si="65"/>
        <v>0</v>
      </c>
      <c r="N166">
        <f t="shared" si="65"/>
        <v>0</v>
      </c>
      <c r="O166">
        <f t="shared" si="65"/>
        <v>0</v>
      </c>
      <c r="P166">
        <f t="shared" si="65"/>
        <v>0</v>
      </c>
      <c r="Q166">
        <f t="shared" si="65"/>
        <v>0</v>
      </c>
      <c r="R166">
        <f t="shared" si="65"/>
        <v>0</v>
      </c>
      <c r="S166">
        <f t="shared" si="65"/>
        <v>0</v>
      </c>
      <c r="T166">
        <f t="shared" si="65"/>
        <v>0</v>
      </c>
      <c r="U166">
        <f t="shared" si="65"/>
        <v>0</v>
      </c>
      <c r="V166">
        <f t="shared" si="65"/>
        <v>0</v>
      </c>
      <c r="W166">
        <f t="shared" si="65"/>
        <v>0</v>
      </c>
      <c r="X166">
        <f t="shared" si="65"/>
        <v>0</v>
      </c>
      <c r="Y166">
        <f t="shared" si="65"/>
        <v>0</v>
      </c>
      <c r="Z166">
        <f t="shared" si="65"/>
        <v>0</v>
      </c>
      <c r="AA166">
        <f t="shared" si="65"/>
        <v>0</v>
      </c>
      <c r="AB166">
        <f t="shared" si="65"/>
        <v>0</v>
      </c>
      <c r="AC166">
        <f t="shared" si="65"/>
        <v>0</v>
      </c>
      <c r="AD166">
        <f t="shared" si="65"/>
        <v>0</v>
      </c>
      <c r="AE166">
        <f t="shared" si="65"/>
        <v>0</v>
      </c>
      <c r="AF166">
        <f t="shared" si="65"/>
        <v>0</v>
      </c>
      <c r="AG166">
        <f t="shared" si="65"/>
        <v>0</v>
      </c>
      <c r="AH166">
        <f t="shared" si="65"/>
        <v>0</v>
      </c>
      <c r="AI166">
        <f t="shared" si="65"/>
        <v>0</v>
      </c>
      <c r="AJ166">
        <f t="shared" si="65"/>
        <v>0</v>
      </c>
      <c r="AK166">
        <f t="shared" si="65"/>
        <v>0</v>
      </c>
      <c r="AL166">
        <f t="shared" si="65"/>
        <v>0</v>
      </c>
      <c r="AM166">
        <f t="shared" si="65"/>
        <v>0</v>
      </c>
      <c r="AN166">
        <f t="shared" si="65"/>
        <v>0</v>
      </c>
      <c r="AO166">
        <f t="shared" si="65"/>
        <v>0</v>
      </c>
      <c r="AP166">
        <f t="shared" si="65"/>
        <v>0</v>
      </c>
      <c r="AQ166">
        <f t="shared" si="65"/>
        <v>0</v>
      </c>
      <c r="AR166">
        <f t="shared" si="65"/>
        <v>0</v>
      </c>
      <c r="AS166">
        <f t="shared" si="65"/>
        <v>0</v>
      </c>
      <c r="AT166">
        <f t="shared" si="65"/>
        <v>0</v>
      </c>
    </row>
    <row r="167" spans="2:46" s="26" customFormat="1" x14ac:dyDescent="0.35">
      <c r="B167" t="s">
        <v>148</v>
      </c>
      <c r="C167" s="29">
        <v>0</v>
      </c>
      <c r="I167" s="76">
        <f t="shared" ref="I167:AT167" si="66">$C167</f>
        <v>0</v>
      </c>
      <c r="J167" s="76">
        <f t="shared" si="66"/>
        <v>0</v>
      </c>
      <c r="K167" s="76">
        <f t="shared" si="66"/>
        <v>0</v>
      </c>
      <c r="L167" s="76">
        <f t="shared" si="66"/>
        <v>0</v>
      </c>
      <c r="M167" s="76">
        <f t="shared" si="66"/>
        <v>0</v>
      </c>
      <c r="N167" s="76">
        <f t="shared" si="66"/>
        <v>0</v>
      </c>
      <c r="O167" s="76">
        <f t="shared" si="66"/>
        <v>0</v>
      </c>
      <c r="P167" s="76">
        <f t="shared" si="66"/>
        <v>0</v>
      </c>
      <c r="Q167" s="76">
        <f t="shared" si="66"/>
        <v>0</v>
      </c>
      <c r="R167" s="76">
        <f t="shared" si="66"/>
        <v>0</v>
      </c>
      <c r="S167" s="76">
        <f t="shared" si="66"/>
        <v>0</v>
      </c>
      <c r="T167" s="76">
        <f t="shared" si="66"/>
        <v>0</v>
      </c>
      <c r="U167" s="76">
        <f t="shared" si="66"/>
        <v>0</v>
      </c>
      <c r="V167" s="76">
        <f t="shared" si="66"/>
        <v>0</v>
      </c>
      <c r="W167" s="76">
        <f t="shared" si="66"/>
        <v>0</v>
      </c>
      <c r="X167" s="76">
        <f t="shared" si="66"/>
        <v>0</v>
      </c>
      <c r="Y167" s="76">
        <f t="shared" si="66"/>
        <v>0</v>
      </c>
      <c r="Z167" s="76">
        <f t="shared" si="66"/>
        <v>0</v>
      </c>
      <c r="AA167" s="76">
        <f t="shared" si="66"/>
        <v>0</v>
      </c>
      <c r="AB167" s="76">
        <f t="shared" si="66"/>
        <v>0</v>
      </c>
      <c r="AC167" s="76">
        <f t="shared" si="66"/>
        <v>0</v>
      </c>
      <c r="AD167" s="76">
        <f t="shared" si="66"/>
        <v>0</v>
      </c>
      <c r="AE167" s="76">
        <f t="shared" si="66"/>
        <v>0</v>
      </c>
      <c r="AF167" s="76">
        <f t="shared" si="66"/>
        <v>0</v>
      </c>
      <c r="AG167" s="76">
        <f t="shared" si="66"/>
        <v>0</v>
      </c>
      <c r="AH167" s="76">
        <f t="shared" si="66"/>
        <v>0</v>
      </c>
      <c r="AI167" s="76">
        <f t="shared" si="66"/>
        <v>0</v>
      </c>
      <c r="AJ167" s="76">
        <f t="shared" si="66"/>
        <v>0</v>
      </c>
      <c r="AK167" s="76">
        <f t="shared" si="66"/>
        <v>0</v>
      </c>
      <c r="AL167" s="76">
        <f t="shared" si="66"/>
        <v>0</v>
      </c>
      <c r="AM167" s="76">
        <f t="shared" si="66"/>
        <v>0</v>
      </c>
      <c r="AN167" s="76">
        <f t="shared" si="66"/>
        <v>0</v>
      </c>
      <c r="AO167" s="76">
        <f t="shared" si="66"/>
        <v>0</v>
      </c>
      <c r="AP167" s="76">
        <f t="shared" si="66"/>
        <v>0</v>
      </c>
      <c r="AQ167" s="76">
        <f t="shared" si="66"/>
        <v>0</v>
      </c>
      <c r="AR167" s="76">
        <f t="shared" si="66"/>
        <v>0</v>
      </c>
      <c r="AS167" s="76">
        <f t="shared" si="66"/>
        <v>0</v>
      </c>
      <c r="AT167" s="76">
        <f t="shared" si="66"/>
        <v>0</v>
      </c>
    </row>
    <row r="168" spans="2:46" s="26" customFormat="1" x14ac:dyDescent="0.35">
      <c r="B168" s="26" t="s">
        <v>149</v>
      </c>
      <c r="C168" s="29"/>
      <c r="I168" s="26">
        <f t="shared" ref="I168:AT168" si="67">SUM(I169:I170)</f>
        <v>400</v>
      </c>
      <c r="J168" s="26">
        <f t="shared" si="67"/>
        <v>400</v>
      </c>
      <c r="K168" s="26">
        <f t="shared" si="67"/>
        <v>400</v>
      </c>
      <c r="L168" s="26">
        <f t="shared" si="67"/>
        <v>400</v>
      </c>
      <c r="M168" s="26">
        <f t="shared" si="67"/>
        <v>400</v>
      </c>
      <c r="N168" s="26">
        <f t="shared" si="67"/>
        <v>400</v>
      </c>
      <c r="O168" s="26">
        <f t="shared" si="67"/>
        <v>400</v>
      </c>
      <c r="P168" s="26">
        <f t="shared" si="67"/>
        <v>200</v>
      </c>
      <c r="Q168" s="26">
        <f t="shared" si="67"/>
        <v>200</v>
      </c>
      <c r="R168" s="26">
        <f t="shared" si="67"/>
        <v>200</v>
      </c>
      <c r="S168" s="26">
        <f t="shared" si="67"/>
        <v>200</v>
      </c>
      <c r="T168" s="26">
        <f t="shared" si="67"/>
        <v>200</v>
      </c>
      <c r="U168" s="26">
        <f t="shared" si="67"/>
        <v>200</v>
      </c>
      <c r="V168" s="26">
        <f t="shared" si="67"/>
        <v>200</v>
      </c>
      <c r="W168" s="26">
        <f t="shared" si="67"/>
        <v>200</v>
      </c>
      <c r="X168" s="26">
        <f t="shared" si="67"/>
        <v>200</v>
      </c>
      <c r="Y168" s="26">
        <f t="shared" si="67"/>
        <v>200</v>
      </c>
      <c r="Z168" s="26">
        <f t="shared" si="67"/>
        <v>200</v>
      </c>
      <c r="AA168" s="26">
        <f t="shared" si="67"/>
        <v>200</v>
      </c>
      <c r="AB168" s="26">
        <f t="shared" si="67"/>
        <v>200</v>
      </c>
      <c r="AC168" s="26">
        <f t="shared" si="67"/>
        <v>200</v>
      </c>
      <c r="AD168" s="26">
        <f t="shared" si="67"/>
        <v>200</v>
      </c>
      <c r="AE168" s="26">
        <f t="shared" si="67"/>
        <v>200</v>
      </c>
      <c r="AF168" s="26">
        <f t="shared" si="67"/>
        <v>200</v>
      </c>
      <c r="AG168" s="26">
        <f t="shared" si="67"/>
        <v>200</v>
      </c>
      <c r="AH168" s="26">
        <f t="shared" si="67"/>
        <v>200</v>
      </c>
      <c r="AI168" s="26">
        <f t="shared" si="67"/>
        <v>200</v>
      </c>
      <c r="AJ168" s="26">
        <f t="shared" si="67"/>
        <v>200</v>
      </c>
      <c r="AK168" s="26">
        <f t="shared" si="67"/>
        <v>200</v>
      </c>
      <c r="AL168" s="26">
        <f t="shared" si="67"/>
        <v>200</v>
      </c>
      <c r="AM168" s="26">
        <f t="shared" si="67"/>
        <v>200</v>
      </c>
      <c r="AN168" s="26">
        <f t="shared" si="67"/>
        <v>200</v>
      </c>
      <c r="AO168" s="26">
        <f t="shared" si="67"/>
        <v>200</v>
      </c>
      <c r="AP168" s="26">
        <f t="shared" si="67"/>
        <v>200</v>
      </c>
      <c r="AQ168" s="26">
        <f t="shared" si="67"/>
        <v>200</v>
      </c>
      <c r="AR168" s="26">
        <f t="shared" si="67"/>
        <v>200</v>
      </c>
      <c r="AS168" s="26">
        <f t="shared" si="67"/>
        <v>200</v>
      </c>
      <c r="AT168" s="26">
        <f t="shared" si="67"/>
        <v>200</v>
      </c>
    </row>
    <row r="169" spans="2:46" x14ac:dyDescent="0.35">
      <c r="B169" t="s">
        <v>148</v>
      </c>
      <c r="C169" s="29">
        <v>200</v>
      </c>
      <c r="D169" s="77">
        <v>46204</v>
      </c>
      <c r="I169">
        <f t="shared" ref="I169:AT169" si="68">IF(I1=DATE(2025,12,1),$C$169,IF(I1=$D$169,0,H169))</f>
        <v>200</v>
      </c>
      <c r="J169">
        <f t="shared" si="68"/>
        <v>200</v>
      </c>
      <c r="K169">
        <f t="shared" si="68"/>
        <v>200</v>
      </c>
      <c r="L169">
        <f t="shared" si="68"/>
        <v>200</v>
      </c>
      <c r="M169">
        <f t="shared" si="68"/>
        <v>200</v>
      </c>
      <c r="N169">
        <f t="shared" si="68"/>
        <v>200</v>
      </c>
      <c r="O169">
        <f t="shared" si="68"/>
        <v>200</v>
      </c>
      <c r="P169">
        <f t="shared" si="68"/>
        <v>0</v>
      </c>
      <c r="Q169">
        <f t="shared" si="68"/>
        <v>0</v>
      </c>
      <c r="R169">
        <f t="shared" si="68"/>
        <v>0</v>
      </c>
      <c r="S169">
        <f t="shared" si="68"/>
        <v>0</v>
      </c>
      <c r="T169">
        <f t="shared" si="68"/>
        <v>0</v>
      </c>
      <c r="U169">
        <f t="shared" si="68"/>
        <v>0</v>
      </c>
      <c r="V169">
        <f t="shared" si="68"/>
        <v>0</v>
      </c>
      <c r="W169">
        <f t="shared" si="68"/>
        <v>0</v>
      </c>
      <c r="X169">
        <f t="shared" si="68"/>
        <v>0</v>
      </c>
      <c r="Y169">
        <f t="shared" si="68"/>
        <v>0</v>
      </c>
      <c r="Z169">
        <f t="shared" si="68"/>
        <v>0</v>
      </c>
      <c r="AA169">
        <f t="shared" si="68"/>
        <v>0</v>
      </c>
      <c r="AB169">
        <f t="shared" si="68"/>
        <v>0</v>
      </c>
      <c r="AC169">
        <f t="shared" si="68"/>
        <v>0</v>
      </c>
      <c r="AD169">
        <f t="shared" si="68"/>
        <v>0</v>
      </c>
      <c r="AE169">
        <f t="shared" si="68"/>
        <v>0</v>
      </c>
      <c r="AF169">
        <f t="shared" si="68"/>
        <v>0</v>
      </c>
      <c r="AG169">
        <f t="shared" si="68"/>
        <v>0</v>
      </c>
      <c r="AH169">
        <f t="shared" si="68"/>
        <v>0</v>
      </c>
      <c r="AI169">
        <f t="shared" si="68"/>
        <v>0</v>
      </c>
      <c r="AJ169">
        <f t="shared" si="68"/>
        <v>0</v>
      </c>
      <c r="AK169">
        <f t="shared" si="68"/>
        <v>0</v>
      </c>
      <c r="AL169">
        <f t="shared" si="68"/>
        <v>0</v>
      </c>
      <c r="AM169">
        <f t="shared" si="68"/>
        <v>0</v>
      </c>
      <c r="AN169">
        <f t="shared" si="68"/>
        <v>0</v>
      </c>
      <c r="AO169">
        <f t="shared" si="68"/>
        <v>0</v>
      </c>
      <c r="AP169">
        <f t="shared" si="68"/>
        <v>0</v>
      </c>
      <c r="AQ169">
        <f t="shared" si="68"/>
        <v>0</v>
      </c>
      <c r="AR169">
        <f t="shared" si="68"/>
        <v>0</v>
      </c>
      <c r="AS169">
        <f t="shared" si="68"/>
        <v>0</v>
      </c>
      <c r="AT169">
        <f t="shared" si="68"/>
        <v>0</v>
      </c>
    </row>
    <row r="170" spans="2:46" x14ac:dyDescent="0.35">
      <c r="B170" t="s">
        <v>150</v>
      </c>
      <c r="C170" s="29">
        <v>200</v>
      </c>
      <c r="I170">
        <f t="shared" ref="I170:AT170" si="69">$C$170</f>
        <v>200</v>
      </c>
      <c r="J170">
        <f t="shared" si="69"/>
        <v>200</v>
      </c>
      <c r="K170">
        <f t="shared" si="69"/>
        <v>200</v>
      </c>
      <c r="L170">
        <f t="shared" si="69"/>
        <v>200</v>
      </c>
      <c r="M170">
        <f t="shared" si="69"/>
        <v>200</v>
      </c>
      <c r="N170">
        <f t="shared" si="69"/>
        <v>200</v>
      </c>
      <c r="O170">
        <f t="shared" si="69"/>
        <v>200</v>
      </c>
      <c r="P170">
        <f t="shared" si="69"/>
        <v>200</v>
      </c>
      <c r="Q170">
        <f t="shared" si="69"/>
        <v>200</v>
      </c>
      <c r="R170">
        <f t="shared" si="69"/>
        <v>200</v>
      </c>
      <c r="S170">
        <f t="shared" si="69"/>
        <v>200</v>
      </c>
      <c r="T170">
        <f t="shared" si="69"/>
        <v>200</v>
      </c>
      <c r="U170">
        <f t="shared" si="69"/>
        <v>200</v>
      </c>
      <c r="V170">
        <f t="shared" si="69"/>
        <v>200</v>
      </c>
      <c r="W170">
        <f t="shared" si="69"/>
        <v>200</v>
      </c>
      <c r="X170">
        <f t="shared" si="69"/>
        <v>200</v>
      </c>
      <c r="Y170">
        <f t="shared" si="69"/>
        <v>200</v>
      </c>
      <c r="Z170">
        <f t="shared" si="69"/>
        <v>200</v>
      </c>
      <c r="AA170">
        <f t="shared" si="69"/>
        <v>200</v>
      </c>
      <c r="AB170">
        <f t="shared" si="69"/>
        <v>200</v>
      </c>
      <c r="AC170">
        <f t="shared" si="69"/>
        <v>200</v>
      </c>
      <c r="AD170">
        <f t="shared" si="69"/>
        <v>200</v>
      </c>
      <c r="AE170">
        <f t="shared" si="69"/>
        <v>200</v>
      </c>
      <c r="AF170">
        <f t="shared" si="69"/>
        <v>200</v>
      </c>
      <c r="AG170">
        <f t="shared" si="69"/>
        <v>200</v>
      </c>
      <c r="AH170">
        <f t="shared" si="69"/>
        <v>200</v>
      </c>
      <c r="AI170">
        <f t="shared" si="69"/>
        <v>200</v>
      </c>
      <c r="AJ170">
        <f t="shared" si="69"/>
        <v>200</v>
      </c>
      <c r="AK170">
        <f t="shared" si="69"/>
        <v>200</v>
      </c>
      <c r="AL170">
        <f t="shared" si="69"/>
        <v>200</v>
      </c>
      <c r="AM170">
        <f t="shared" si="69"/>
        <v>200</v>
      </c>
      <c r="AN170">
        <f t="shared" si="69"/>
        <v>200</v>
      </c>
      <c r="AO170">
        <f t="shared" si="69"/>
        <v>200</v>
      </c>
      <c r="AP170">
        <f t="shared" si="69"/>
        <v>200</v>
      </c>
      <c r="AQ170">
        <f t="shared" si="69"/>
        <v>200</v>
      </c>
      <c r="AR170">
        <f t="shared" si="69"/>
        <v>200</v>
      </c>
      <c r="AS170">
        <f t="shared" si="69"/>
        <v>200</v>
      </c>
      <c r="AT170">
        <f t="shared" si="69"/>
        <v>200</v>
      </c>
    </row>
    <row r="171" spans="2:46" s="28" customFormat="1" x14ac:dyDescent="0.35"/>
    <row r="172" spans="2:46" x14ac:dyDescent="0.35">
      <c r="B172" t="s">
        <v>151</v>
      </c>
      <c r="I172" s="30">
        <f t="shared" ref="I172:AT172" ca="1" si="70">I154-I162</f>
        <v>0</v>
      </c>
      <c r="J172" s="30">
        <f t="shared" ca="1" si="70"/>
        <v>0</v>
      </c>
      <c r="K172" s="30">
        <f t="shared" ca="1" si="70"/>
        <v>0</v>
      </c>
      <c r="L172" s="30">
        <f t="shared" ca="1" si="70"/>
        <v>0</v>
      </c>
      <c r="M172" s="30">
        <f t="shared" ca="1" si="70"/>
        <v>0</v>
      </c>
      <c r="N172" s="30">
        <f t="shared" ca="1" si="70"/>
        <v>0</v>
      </c>
      <c r="O172" s="30">
        <f t="shared" ca="1" si="70"/>
        <v>0</v>
      </c>
      <c r="P172" s="30">
        <f t="shared" ca="1" si="70"/>
        <v>0</v>
      </c>
      <c r="Q172" s="30">
        <f t="shared" ca="1" si="70"/>
        <v>0</v>
      </c>
      <c r="R172" s="30">
        <f t="shared" ca="1" si="70"/>
        <v>0</v>
      </c>
      <c r="S172" s="30">
        <f t="shared" ca="1" si="70"/>
        <v>0</v>
      </c>
      <c r="T172" s="30">
        <f t="shared" ca="1" si="70"/>
        <v>0</v>
      </c>
      <c r="U172" s="30">
        <f t="shared" ca="1" si="70"/>
        <v>0</v>
      </c>
      <c r="V172" s="30">
        <f t="shared" ca="1" si="70"/>
        <v>0</v>
      </c>
      <c r="W172" s="30">
        <f t="shared" ca="1" si="70"/>
        <v>0</v>
      </c>
      <c r="X172" s="30">
        <f t="shared" ca="1" si="70"/>
        <v>0</v>
      </c>
      <c r="Y172" s="30">
        <f t="shared" ca="1" si="70"/>
        <v>0</v>
      </c>
      <c r="Z172" s="30">
        <f t="shared" ca="1" si="70"/>
        <v>0</v>
      </c>
      <c r="AA172" s="30">
        <f t="shared" ca="1" si="70"/>
        <v>0</v>
      </c>
      <c r="AB172" s="30">
        <f t="shared" ca="1" si="70"/>
        <v>0</v>
      </c>
      <c r="AC172" s="30">
        <f t="shared" ca="1" si="70"/>
        <v>0</v>
      </c>
      <c r="AD172" s="30">
        <f t="shared" ca="1" si="70"/>
        <v>0</v>
      </c>
      <c r="AE172" s="30">
        <f t="shared" ca="1" si="70"/>
        <v>0</v>
      </c>
      <c r="AF172" s="30">
        <f t="shared" ca="1" si="70"/>
        <v>0</v>
      </c>
      <c r="AG172" s="30">
        <f t="shared" ca="1" si="70"/>
        <v>0</v>
      </c>
      <c r="AH172" s="30">
        <f t="shared" ca="1" si="70"/>
        <v>0</v>
      </c>
      <c r="AI172" s="30">
        <f t="shared" ca="1" si="70"/>
        <v>0</v>
      </c>
      <c r="AJ172" s="30">
        <f t="shared" ca="1" si="70"/>
        <v>0</v>
      </c>
      <c r="AK172" s="30">
        <f t="shared" ca="1" si="70"/>
        <v>0</v>
      </c>
      <c r="AL172" s="30">
        <f t="shared" ca="1" si="70"/>
        <v>0</v>
      </c>
      <c r="AM172" s="30">
        <f t="shared" ca="1" si="70"/>
        <v>0</v>
      </c>
      <c r="AN172" s="30">
        <f t="shared" ca="1" si="70"/>
        <v>0</v>
      </c>
      <c r="AO172" s="30">
        <f t="shared" ca="1" si="70"/>
        <v>0</v>
      </c>
      <c r="AP172" s="30">
        <f t="shared" ca="1" si="70"/>
        <v>0</v>
      </c>
      <c r="AQ172" s="30">
        <f t="shared" ca="1" si="70"/>
        <v>0</v>
      </c>
      <c r="AR172" s="30">
        <f t="shared" ca="1" si="70"/>
        <v>0</v>
      </c>
      <c r="AS172" s="30">
        <f t="shared" ca="1" si="70"/>
        <v>0</v>
      </c>
      <c r="AT172" s="30">
        <f t="shared" ca="1" si="70"/>
        <v>0</v>
      </c>
    </row>
    <row r="173" spans="2:46" x14ac:dyDescent="0.35">
      <c r="D173" s="30"/>
      <c r="E173" s="31"/>
      <c r="F173" s="29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  <c r="AP173" s="30"/>
      <c r="AQ173" s="30"/>
      <c r="AR173" s="30"/>
      <c r="AS173" s="30"/>
      <c r="AT173" s="30"/>
    </row>
    <row r="174" spans="2:46" s="1" customFormat="1" ht="15" customHeight="1" thickBot="1" x14ac:dyDescent="0.4">
      <c r="B174" s="1" t="s">
        <v>152</v>
      </c>
      <c r="C174" s="1" t="s">
        <v>14</v>
      </c>
      <c r="D174" s="2">
        <f ca="1">J48/J42/J40/J38+J55+J60*J64+J71*J73+J80</f>
        <v>802.9</v>
      </c>
      <c r="E174" s="2"/>
      <c r="F174" s="2"/>
      <c r="G174" s="2"/>
      <c r="H174" s="2"/>
    </row>
    <row r="175" spans="2:46" x14ac:dyDescent="0.35">
      <c r="B175" s="95" t="s">
        <v>153</v>
      </c>
    </row>
    <row r="176" spans="2:46" s="28" customFormat="1" x14ac:dyDescent="0.35">
      <c r="B176" s="96" t="s">
        <v>154</v>
      </c>
      <c r="D176" s="29"/>
      <c r="E176" s="29"/>
      <c r="F176" s="29"/>
      <c r="G176" s="29"/>
      <c r="H176" s="29"/>
      <c r="J176" s="94">
        <f ca="1">J13*Предпосылки!$C$7</f>
        <v>250</v>
      </c>
      <c r="K176" s="94">
        <f ca="1">K13*Предпосылки!$C$7</f>
        <v>253.25749999999999</v>
      </c>
      <c r="L176" s="94">
        <f ca="1">L13*Предпосылки!$C$7</f>
        <v>256.55744522499998</v>
      </c>
      <c r="M176" s="94">
        <f ca="1">M13*Предпосылки!$C$7</f>
        <v>259.90038873628174</v>
      </c>
      <c r="N176" s="94">
        <f ca="1">N13*Предпосылки!$C$7</f>
        <v>526.57378160303097</v>
      </c>
      <c r="O176" s="94">
        <f ca="1">O13*Предпосылки!$C$7</f>
        <v>266.71751898865926</v>
      </c>
      <c r="P176" s="94">
        <f ca="1">P13*Предпосылки!$C$7</f>
        <v>270.19284826108151</v>
      </c>
      <c r="Q176" s="94">
        <f ca="1">Q13*Предпосылки!$C$7</f>
        <v>410.57019161088505</v>
      </c>
      <c r="R176" s="94">
        <f ca="1">R13*Предпосылки!$C$7</f>
        <v>277.27994747171664</v>
      </c>
      <c r="S176" s="94">
        <f ca="1">S13*Предпосылки!$C$7</f>
        <v>280.89290518727313</v>
      </c>
      <c r="T176" s="94">
        <f ca="1">T13*Предпосылки!$C$7</f>
        <v>284.55293974186327</v>
      </c>
      <c r="U176" s="94">
        <f ca="1">U13*Предпосылки!$C$7</f>
        <v>576.52132909339957</v>
      </c>
      <c r="V176" s="94">
        <f ca="1">V13*Предпосылки!$C$7</f>
        <v>292.01670100574324</v>
      </c>
      <c r="W176" s="94">
        <f ca="1">W13*Предпосылки!$C$7</f>
        <v>295.82167861984811</v>
      </c>
      <c r="X176" s="94">
        <f ca="1">X13*Предпосылки!$C$7</f>
        <v>299.67623509226473</v>
      </c>
      <c r="Y176" s="94">
        <f ca="1">Y13*Предпосылки!$C$7</f>
        <v>303.58101643551697</v>
      </c>
      <c r="Z176" s="94">
        <f ca="1">Z13*Предпосылки!$C$7</f>
        <v>615.07335415934347</v>
      </c>
      <c r="AA176" s="94">
        <f ca="1">AA13*Предпосылки!$C$7</f>
        <v>311.54387998201986</v>
      </c>
      <c r="AB176" s="94">
        <f ca="1">AB13*Предпосылки!$C$7</f>
        <v>315.60329673818558</v>
      </c>
      <c r="AC176" s="94">
        <f ca="1">AC13*Предпосылки!$C$7</f>
        <v>479.57341154202618</v>
      </c>
      <c r="AD176" s="94">
        <f ca="1">AD13*Предпосылки!$C$7</f>
        <v>323.88150206294586</v>
      </c>
      <c r="AE176" s="94">
        <f ca="1">AE13*Предпосылки!$C$7</f>
        <v>328.10167803482602</v>
      </c>
      <c r="AF176" s="94">
        <f ca="1">AF13*Предпосылки!$C$7</f>
        <v>332.37684289961976</v>
      </c>
      <c r="AG176" s="94">
        <f ca="1">AG13*Предпосылки!$C$7</f>
        <v>673.41542632520373</v>
      </c>
      <c r="AH176" s="94">
        <f ca="1">AH13*Предпосылки!$C$7</f>
        <v>341.09501466511057</v>
      </c>
      <c r="AI176" s="94">
        <f ca="1">AI13*Предпосылки!$C$7</f>
        <v>345.53948270619696</v>
      </c>
      <c r="AJ176" s="94">
        <f ca="1">AJ13*Предпосылки!$C$7</f>
        <v>350.04186216585867</v>
      </c>
      <c r="AK176" s="94">
        <f ca="1">AK13*Предпосылки!$C$7</f>
        <v>354.60290762987984</v>
      </c>
      <c r="AL176" s="94">
        <f ca="1">AL13*Предпосылки!$C$7</f>
        <v>718.44676703259438</v>
      </c>
      <c r="AM176" s="94">
        <f ca="1">AM13*Предпосылки!$C$7</f>
        <v>363.90406420351457</v>
      </c>
      <c r="AN176" s="94">
        <f ca="1">AN13*Предпосылки!$C$7</f>
        <v>368.64573416008631</v>
      </c>
      <c r="AO176" s="94">
        <f ca="1">AO13*Предпосылки!$C$7</f>
        <v>560.17378211428843</v>
      </c>
      <c r="AP176" s="94">
        <f ca="1">AP13*Предпосылки!$C$7</f>
        <v>378.31523099682516</v>
      </c>
      <c r="AQ176" s="94">
        <f ca="1">AQ13*Предпосылки!$C$7</f>
        <v>383.24467845671376</v>
      </c>
      <c r="AR176" s="94">
        <f ca="1">AR13*Предпосылки!$C$7</f>
        <v>388.23835661700468</v>
      </c>
      <c r="AS176" s="94">
        <f ca="1">AS13*Предпосылки!$C$7</f>
        <v>786.5942048074487</v>
      </c>
      <c r="AT176" s="94">
        <f ca="1">AT13*Предпосылки!$C$7</f>
        <v>398.42176364804482</v>
      </c>
    </row>
    <row r="177" spans="2:46" x14ac:dyDescent="0.35">
      <c r="B177" s="96" t="s">
        <v>155</v>
      </c>
      <c r="D177" s="30"/>
      <c r="E177" s="32"/>
      <c r="J177" s="94">
        <f t="shared" ref="J177:AT177" ca="1" si="71">-SUM(J52,J59,J68,J77,J84)</f>
        <v>-78.243750000000006</v>
      </c>
      <c r="K177" s="94">
        <f t="shared" ca="1" si="71"/>
        <v>-79.026187499999992</v>
      </c>
      <c r="L177" s="94">
        <f t="shared" ca="1" si="71"/>
        <v>-79.816449374999991</v>
      </c>
      <c r="M177" s="94">
        <f t="shared" ca="1" si="71"/>
        <v>-80.614613868749984</v>
      </c>
      <c r="N177" s="94">
        <f t="shared" ca="1" si="71"/>
        <v>-162.84152001487502</v>
      </c>
      <c r="O177" s="94">
        <f t="shared" ca="1" si="71"/>
        <v>-82.234967607511877</v>
      </c>
      <c r="P177" s="94">
        <f t="shared" ca="1" si="71"/>
        <v>-83.057317283586997</v>
      </c>
      <c r="Q177" s="94">
        <f t="shared" ca="1" si="71"/>
        <v>-125.83183568463427</v>
      </c>
      <c r="R177" s="94">
        <f t="shared" ca="1" si="71"/>
        <v>-84.726769360987078</v>
      </c>
      <c r="S177" s="94">
        <f t="shared" ca="1" si="71"/>
        <v>-85.574037054596971</v>
      </c>
      <c r="T177" s="94">
        <f t="shared" ca="1" si="71"/>
        <v>-86.42977742514293</v>
      </c>
      <c r="U177" s="94">
        <f t="shared" ca="1" si="71"/>
        <v>-174.58815039878866</v>
      </c>
      <c r="V177" s="94">
        <f t="shared" ca="1" si="71"/>
        <v>-92.559872904793394</v>
      </c>
      <c r="W177" s="94">
        <f t="shared" ca="1" si="71"/>
        <v>-93.485471633841314</v>
      </c>
      <c r="X177" s="94">
        <f t="shared" ca="1" si="71"/>
        <v>-94.420326350179764</v>
      </c>
      <c r="Y177" s="94">
        <f t="shared" ca="1" si="71"/>
        <v>-95.364529613681526</v>
      </c>
      <c r="Z177" s="94">
        <f t="shared" ca="1" si="71"/>
        <v>-192.63634981963668</v>
      </c>
      <c r="AA177" s="94">
        <f t="shared" ca="1" si="71"/>
        <v>-97.281356658916522</v>
      </c>
      <c r="AB177" s="94">
        <f t="shared" ca="1" si="71"/>
        <v>-98.254170225505689</v>
      </c>
      <c r="AC177" s="94">
        <f t="shared" ca="1" si="71"/>
        <v>-148.85506789164111</v>
      </c>
      <c r="AD177" s="94">
        <f t="shared" ca="1" si="71"/>
        <v>-100.22907904703837</v>
      </c>
      <c r="AE177" s="94">
        <f t="shared" ca="1" si="71"/>
        <v>-101.23136983750875</v>
      </c>
      <c r="AF177" s="94">
        <f t="shared" ca="1" si="71"/>
        <v>-102.24368353588383</v>
      </c>
      <c r="AG177" s="94">
        <f t="shared" ca="1" si="71"/>
        <v>-206.53224074248536</v>
      </c>
      <c r="AH177" s="94">
        <f t="shared" ca="1" si="71"/>
        <v>-109.49626180228555</v>
      </c>
      <c r="AI177" s="94">
        <f t="shared" ca="1" si="71"/>
        <v>-110.59122442030839</v>
      </c>
      <c r="AJ177" s="94">
        <f t="shared" ca="1" si="71"/>
        <v>-111.69713666451148</v>
      </c>
      <c r="AK177" s="94">
        <f t="shared" ca="1" si="71"/>
        <v>-112.81410803115659</v>
      </c>
      <c r="AL177" s="94">
        <f t="shared" ca="1" si="71"/>
        <v>-227.88449822293632</v>
      </c>
      <c r="AM177" s="94">
        <f t="shared" ca="1" si="71"/>
        <v>-115.08167160258286</v>
      </c>
      <c r="AN177" s="94">
        <f t="shared" ca="1" si="71"/>
        <v>-116.23248831860867</v>
      </c>
      <c r="AO177" s="94">
        <f t="shared" ca="1" si="71"/>
        <v>-176.09221980269214</v>
      </c>
      <c r="AP177" s="94">
        <f t="shared" ca="1" si="71"/>
        <v>-118.56876133381272</v>
      </c>
      <c r="AQ177" s="94">
        <f t="shared" ca="1" si="71"/>
        <v>-119.75444894715088</v>
      </c>
      <c r="AR177" s="94">
        <f t="shared" ca="1" si="71"/>
        <v>-120.95199343662236</v>
      </c>
      <c r="AS177" s="94">
        <f t="shared" ca="1" si="71"/>
        <v>-244.3230267419772</v>
      </c>
      <c r="AT177" s="94">
        <f t="shared" ca="1" si="71"/>
        <v>-129.53261185915903</v>
      </c>
    </row>
    <row r="178" spans="2:46" x14ac:dyDescent="0.35">
      <c r="B178" s="96" t="s">
        <v>156</v>
      </c>
      <c r="D178" s="30"/>
      <c r="E178" s="32"/>
      <c r="J178" s="94">
        <f t="shared" ref="J178:AT178" ca="1" si="72">-SUM(J89,J93,J97)</f>
        <v>-119.75862068965517</v>
      </c>
      <c r="K178" s="94">
        <f t="shared" ca="1" si="72"/>
        <v>-119.75862068965517</v>
      </c>
      <c r="L178" s="94">
        <f t="shared" ca="1" si="72"/>
        <v>-119.75862068965517</v>
      </c>
      <c r="M178" s="94">
        <f t="shared" ca="1" si="72"/>
        <v>-119.75862068965517</v>
      </c>
      <c r="N178" s="94">
        <f t="shared" ca="1" si="72"/>
        <v>-119.75862068965517</v>
      </c>
      <c r="O178" s="94">
        <f t="shared" ca="1" si="72"/>
        <v>-119.75862068965517</v>
      </c>
      <c r="P178" s="94">
        <f t="shared" ca="1" si="72"/>
        <v>-119.75862068965517</v>
      </c>
      <c r="Q178" s="94">
        <f t="shared" ca="1" si="72"/>
        <v>-119.75862068965517</v>
      </c>
      <c r="R178" s="94">
        <f t="shared" ca="1" si="72"/>
        <v>-119.75862068965517</v>
      </c>
      <c r="S178" s="94">
        <f t="shared" ca="1" si="72"/>
        <v>-119.75862068965517</v>
      </c>
      <c r="T178" s="94">
        <f t="shared" ca="1" si="72"/>
        <v>-119.75862068965517</v>
      </c>
      <c r="U178" s="94">
        <f t="shared" ca="1" si="72"/>
        <v>-119.75862068965517</v>
      </c>
      <c r="V178" s="94">
        <f t="shared" ca="1" si="72"/>
        <v>-120.50862068965517</v>
      </c>
      <c r="W178" s="94">
        <f t="shared" ca="1" si="72"/>
        <v>-120.50862068965517</v>
      </c>
      <c r="X178" s="94">
        <f t="shared" ca="1" si="72"/>
        <v>-120.50862068965517</v>
      </c>
      <c r="Y178" s="94">
        <f t="shared" ca="1" si="72"/>
        <v>-120.50862068965517</v>
      </c>
      <c r="Z178" s="94">
        <f t="shared" ca="1" si="72"/>
        <v>-120.50862068965517</v>
      </c>
      <c r="AA178" s="94">
        <f t="shared" ca="1" si="72"/>
        <v>-120.50862068965517</v>
      </c>
      <c r="AB178" s="94">
        <f t="shared" ca="1" si="72"/>
        <v>-120.50862068965517</v>
      </c>
      <c r="AC178" s="94">
        <f t="shared" ca="1" si="72"/>
        <v>-120.50862068965517</v>
      </c>
      <c r="AD178" s="94">
        <f t="shared" ca="1" si="72"/>
        <v>-120.50862068965517</v>
      </c>
      <c r="AE178" s="94">
        <f t="shared" ca="1" si="72"/>
        <v>-120.50862068965517</v>
      </c>
      <c r="AF178" s="94">
        <f t="shared" ca="1" si="72"/>
        <v>-120.50862068965517</v>
      </c>
      <c r="AG178" s="94">
        <f t="shared" ca="1" si="72"/>
        <v>-120.50862068965517</v>
      </c>
      <c r="AH178" s="94">
        <f t="shared" ca="1" si="72"/>
        <v>-121.29612068965517</v>
      </c>
      <c r="AI178" s="94">
        <f t="shared" ca="1" si="72"/>
        <v>-121.29612068965517</v>
      </c>
      <c r="AJ178" s="94">
        <f t="shared" ca="1" si="72"/>
        <v>-121.29612068965517</v>
      </c>
      <c r="AK178" s="94">
        <f t="shared" ca="1" si="72"/>
        <v>-121.29612068965517</v>
      </c>
      <c r="AL178" s="94">
        <f t="shared" ca="1" si="72"/>
        <v>-121.29612068965517</v>
      </c>
      <c r="AM178" s="94">
        <f t="shared" ca="1" si="72"/>
        <v>-121.29612068965517</v>
      </c>
      <c r="AN178" s="94">
        <f t="shared" ca="1" si="72"/>
        <v>-121.29612068965517</v>
      </c>
      <c r="AO178" s="94">
        <f t="shared" ca="1" si="72"/>
        <v>-121.29612068965517</v>
      </c>
      <c r="AP178" s="94">
        <f t="shared" ca="1" si="72"/>
        <v>-121.29612068965517</v>
      </c>
      <c r="AQ178" s="94">
        <f t="shared" ca="1" si="72"/>
        <v>-121.29612068965517</v>
      </c>
      <c r="AR178" s="94">
        <f t="shared" ca="1" si="72"/>
        <v>-121.29612068965517</v>
      </c>
      <c r="AS178" s="94">
        <f t="shared" ca="1" si="72"/>
        <v>-121.29612068965517</v>
      </c>
      <c r="AT178" s="94">
        <f t="shared" ca="1" si="72"/>
        <v>-122.12299568965517</v>
      </c>
    </row>
    <row r="179" spans="2:46" s="26" customFormat="1" x14ac:dyDescent="0.35">
      <c r="B179" s="96" t="s">
        <v>157</v>
      </c>
      <c r="J179" s="94">
        <f t="shared" ref="J179:AT179" ca="1" si="73">-J124</f>
        <v>-30.313541666666659</v>
      </c>
      <c r="K179" s="94">
        <f t="shared" ca="1" si="73"/>
        <v>-30.767927083333337</v>
      </c>
      <c r="L179" s="94">
        <f t="shared" ca="1" si="73"/>
        <v>-31.228501391666626</v>
      </c>
      <c r="M179" s="94">
        <f t="shared" ca="1" si="73"/>
        <v>-31.695347915421969</v>
      </c>
      <c r="N179" s="94">
        <f t="shared" ca="1" si="73"/>
        <v>-66.837102181775904</v>
      </c>
      <c r="O179" s="94">
        <f t="shared" ca="1" si="73"/>
        <v>-32.648196481651645</v>
      </c>
      <c r="P179" s="94">
        <f t="shared" ca="1" si="73"/>
        <v>-33.13437079355748</v>
      </c>
      <c r="Q179" s="94">
        <f t="shared" ca="1" si="73"/>
        <v>-51.69074283479722</v>
      </c>
      <c r="R179" s="94">
        <f t="shared" ca="1" si="73"/>
        <v>-34.12665880660586</v>
      </c>
      <c r="S179" s="94">
        <f t="shared" ca="1" si="73"/>
        <v>-34.632951768145148</v>
      </c>
      <c r="T179" s="94">
        <f t="shared" ca="1" si="73"/>
        <v>-35.146132202946134</v>
      </c>
      <c r="U179" s="94">
        <f t="shared" ca="1" si="73"/>
        <v>-73.832585519090443</v>
      </c>
      <c r="V179" s="94">
        <f t="shared" ca="1" si="73"/>
        <v>-35.571139711780056</v>
      </c>
      <c r="W179" s="94">
        <f t="shared" ca="1" si="73"/>
        <v>-36.100569542905781</v>
      </c>
      <c r="X179" s="94">
        <f t="shared" ca="1" si="73"/>
        <v>-36.637215186037878</v>
      </c>
      <c r="Y179" s="94">
        <f t="shared" ca="1" si="73"/>
        <v>-37.18117383661987</v>
      </c>
      <c r="Z179" s="94">
        <f t="shared" ca="1" si="73"/>
        <v>-78.090087976571866</v>
      </c>
      <c r="AA179" s="94">
        <f t="shared" ca="1" si="73"/>
        <v>-38.291425450094017</v>
      </c>
      <c r="AB179" s="94">
        <f t="shared" ca="1" si="73"/>
        <v>-38.857919363985943</v>
      </c>
      <c r="AC179" s="94">
        <f t="shared" ca="1" si="73"/>
        <v>-60.460692333717901</v>
      </c>
      <c r="AD179" s="94">
        <f t="shared" ca="1" si="73"/>
        <v>-40.014155886589137</v>
      </c>
      <c r="AE179" s="94">
        <f t="shared" ca="1" si="73"/>
        <v>-40.604107603996894</v>
      </c>
      <c r="AF179" s="94">
        <f t="shared" ca="1" si="73"/>
        <v>-41.202090027444392</v>
      </c>
      <c r="AG179" s="94">
        <f t="shared" ca="1" si="73"/>
        <v>-86.24142246676638</v>
      </c>
      <c r="AH179" s="94">
        <f t="shared" ca="1" si="73"/>
        <v>-41.702838490675376</v>
      </c>
      <c r="AI179" s="94">
        <f t="shared" ca="1" si="73"/>
        <v>-42.319682357988057</v>
      </c>
      <c r="AJ179" s="94">
        <f t="shared" ca="1" si="73"/>
        <v>-42.944939120334496</v>
      </c>
      <c r="AK179" s="94">
        <f t="shared" ca="1" si="73"/>
        <v>-43.578722151931657</v>
      </c>
      <c r="AL179" s="94">
        <f t="shared" ca="1" si="73"/>
        <v>-91.198542683608082</v>
      </c>
      <c r="AM179" s="94">
        <f t="shared" ca="1" si="73"/>
        <v>-44.872328113897822</v>
      </c>
      <c r="AN179" s="94">
        <f t="shared" ca="1" si="73"/>
        <v>-45.532385447459546</v>
      </c>
      <c r="AO179" s="94">
        <f t="shared" ca="1" si="73"/>
        <v>-70.680281846527507</v>
      </c>
      <c r="AP179" s="94">
        <f t="shared" ca="1" si="73"/>
        <v>-46.879606616640409</v>
      </c>
      <c r="AQ179" s="94">
        <f t="shared" ca="1" si="73"/>
        <v>-47.567014374460115</v>
      </c>
      <c r="AR179" s="94">
        <f t="shared" ca="1" si="73"/>
        <v>-48.263785580825399</v>
      </c>
      <c r="AS179" s="94">
        <f t="shared" ca="1" si="73"/>
        <v>-100.6963426134505</v>
      </c>
      <c r="AT179" s="94">
        <f t="shared" ca="1" si="73"/>
        <v>-48.851827619077469</v>
      </c>
    </row>
    <row r="180" spans="2:46" x14ac:dyDescent="0.35">
      <c r="B180" s="96" t="s">
        <v>158</v>
      </c>
      <c r="J180" s="94">
        <f t="shared" ref="J180:AT180" ca="1" si="74">-J151</f>
        <v>0</v>
      </c>
      <c r="K180" s="94">
        <f t="shared" ca="1" si="74"/>
        <v>0</v>
      </c>
      <c r="L180" s="94">
        <f t="shared" ca="1" si="74"/>
        <v>0</v>
      </c>
      <c r="M180" s="94">
        <f t="shared" ca="1" si="74"/>
        <v>0</v>
      </c>
      <c r="N180" s="94">
        <f t="shared" ca="1" si="74"/>
        <v>-10.222214223709489</v>
      </c>
      <c r="O180" s="94">
        <f t="shared" ca="1" si="74"/>
        <v>-3.4151468419681068</v>
      </c>
      <c r="P180" s="94">
        <f t="shared" ca="1" si="74"/>
        <v>-3.8485078988563775</v>
      </c>
      <c r="Q180" s="94">
        <f t="shared" ca="1" si="74"/>
        <v>-19.657798480359681</v>
      </c>
      <c r="R180" s="94">
        <f t="shared" ca="1" si="74"/>
        <v>-4.7335797228937171</v>
      </c>
      <c r="S180" s="94">
        <f t="shared" ca="1" si="74"/>
        <v>-5.1854591349751677</v>
      </c>
      <c r="T180" s="94">
        <f t="shared" ca="1" si="74"/>
        <v>-5.6436818848238035</v>
      </c>
      <c r="U180" s="94">
        <f t="shared" ca="1" si="74"/>
        <v>-38.668394497173054</v>
      </c>
      <c r="V180" s="94">
        <f t="shared" ca="1" si="74"/>
        <v>-5.6754135399029284</v>
      </c>
      <c r="W180" s="94">
        <f t="shared" ca="1" si="74"/>
        <v>-6.1454033506891683</v>
      </c>
      <c r="X180" s="94">
        <f t="shared" ca="1" si="74"/>
        <v>-6.6220145732783919</v>
      </c>
      <c r="Y180" s="94">
        <f t="shared" ca="1" si="74"/>
        <v>-7.1053384591120796</v>
      </c>
      <c r="Z180" s="94">
        <f t="shared" ca="1" si="74"/>
        <v>-41.767659134695947</v>
      </c>
      <c r="AA180" s="94">
        <f t="shared" ca="1" si="74"/>
        <v>-8.0924954366708342</v>
      </c>
      <c r="AB180" s="94">
        <f t="shared" ca="1" si="74"/>
        <v>-8.5965172918077553</v>
      </c>
      <c r="AC180" s="94">
        <f t="shared" ca="1" si="74"/>
        <v>-26.949806125402393</v>
      </c>
      <c r="AD180" s="94">
        <f t="shared" ca="1" si="74"/>
        <v>-9.6259292879326281</v>
      </c>
      <c r="AE180" s="94">
        <f t="shared" ca="1" si="74"/>
        <v>-10.151515980733041</v>
      </c>
      <c r="AF180" s="94">
        <f t="shared" ca="1" si="74"/>
        <v>-10.684489729327277</v>
      </c>
      <c r="AG180" s="94">
        <f t="shared" ca="1" si="74"/>
        <v>-49.026628485259359</v>
      </c>
      <c r="AH180" s="94">
        <f t="shared" ca="1" si="74"/>
        <v>-10.719958736498899</v>
      </c>
      <c r="AI180" s="94">
        <f t="shared" ca="1" si="74"/>
        <v>-11.266491047649072</v>
      </c>
      <c r="AJ180" s="94">
        <f t="shared" ca="1" si="74"/>
        <v>-11.820733138271493</v>
      </c>
      <c r="AK180" s="94">
        <f t="shared" ca="1" si="74"/>
        <v>-12.382791351427272</v>
      </c>
      <c r="AL180" s="94">
        <f t="shared" ca="1" si="74"/>
        <v>-52.61352108727894</v>
      </c>
      <c r="AM180" s="94">
        <f t="shared" ca="1" si="74"/>
        <v>-13.53078875947574</v>
      </c>
      <c r="AN180" s="94">
        <f t="shared" ca="1" si="74"/>
        <v>-14.116947940872581</v>
      </c>
      <c r="AO180" s="94">
        <f t="shared" ca="1" si="74"/>
        <v>-35.421031955082732</v>
      </c>
      <c r="AP180" s="94">
        <f t="shared" ca="1" si="74"/>
        <v>-15.314148471343367</v>
      </c>
      <c r="AQ180" s="94">
        <f t="shared" ca="1" si="74"/>
        <v>-15.925418889089521</v>
      </c>
      <c r="AR180" s="94">
        <f t="shared" ca="1" si="74"/>
        <v>-16.545291381980348</v>
      </c>
      <c r="AS180" s="94">
        <f t="shared" ca="1" si="74"/>
        <v>-61.055742952473167</v>
      </c>
      <c r="AT180" s="94">
        <f t="shared" ca="1" si="74"/>
        <v>-16.58286569603063</v>
      </c>
    </row>
    <row r="181" spans="2:46" s="75" customFormat="1" x14ac:dyDescent="0.35">
      <c r="B181" s="75" t="s">
        <v>159</v>
      </c>
      <c r="J181" s="75">
        <f t="shared" ref="J181:AT181" ca="1" si="75">SUM(J176:J180)</f>
        <v>21.684087643678161</v>
      </c>
      <c r="K181" s="75">
        <f t="shared" ca="1" si="75"/>
        <v>23.70476472701149</v>
      </c>
      <c r="L181" s="75">
        <f t="shared" ca="1" si="75"/>
        <v>25.75387376867819</v>
      </c>
      <c r="M181" s="75">
        <f t="shared" ca="1" si="75"/>
        <v>27.831806262454613</v>
      </c>
      <c r="N181" s="75">
        <f t="shared" ca="1" si="75"/>
        <v>166.91432449301539</v>
      </c>
      <c r="O181" s="75">
        <f t="shared" ca="1" si="75"/>
        <v>28.660587367872477</v>
      </c>
      <c r="P181" s="75">
        <f t="shared" ca="1" si="75"/>
        <v>30.394031595425481</v>
      </c>
      <c r="Q181" s="75">
        <f t="shared" ca="1" si="75"/>
        <v>93.631193921438722</v>
      </c>
      <c r="R181" s="75">
        <f t="shared" ca="1" si="75"/>
        <v>33.934318891574812</v>
      </c>
      <c r="S181" s="75">
        <f t="shared" ca="1" si="75"/>
        <v>35.741836539900667</v>
      </c>
      <c r="T181" s="75">
        <f t="shared" ca="1" si="75"/>
        <v>37.574727539295225</v>
      </c>
      <c r="U181" s="75">
        <f t="shared" ca="1" si="75"/>
        <v>169.67357798869222</v>
      </c>
      <c r="V181" s="75">
        <f t="shared" ca="1" si="75"/>
        <v>37.701654159611692</v>
      </c>
      <c r="W181" s="75">
        <f t="shared" ca="1" si="75"/>
        <v>39.581613402756673</v>
      </c>
      <c r="X181" s="75">
        <f t="shared" ca="1" si="75"/>
        <v>41.488058293113511</v>
      </c>
      <c r="Y181" s="75">
        <f t="shared" ca="1" si="75"/>
        <v>43.421353836448318</v>
      </c>
      <c r="Z181" s="75">
        <f t="shared" ca="1" si="75"/>
        <v>182.07063653878382</v>
      </c>
      <c r="AA181" s="75">
        <f t="shared" ca="1" si="75"/>
        <v>47.369981746683294</v>
      </c>
      <c r="AB181" s="75">
        <f t="shared" ca="1" si="75"/>
        <v>49.386069167231028</v>
      </c>
      <c r="AC181" s="75">
        <f t="shared" ca="1" si="75"/>
        <v>122.7992245016096</v>
      </c>
      <c r="AD181" s="75">
        <f t="shared" ca="1" si="75"/>
        <v>53.503717151730548</v>
      </c>
      <c r="AE181" s="75">
        <f t="shared" ca="1" si="75"/>
        <v>55.606063922932179</v>
      </c>
      <c r="AF181" s="75">
        <f t="shared" ca="1" si="75"/>
        <v>57.737958917309079</v>
      </c>
      <c r="AG181" s="75">
        <f t="shared" ca="1" si="75"/>
        <v>211.10651394103749</v>
      </c>
      <c r="AH181" s="75">
        <f t="shared" ca="1" si="75"/>
        <v>57.879834945995583</v>
      </c>
      <c r="AI181" s="75">
        <f t="shared" ca="1" si="75"/>
        <v>60.06596419059629</v>
      </c>
      <c r="AJ181" s="75">
        <f t="shared" ca="1" si="75"/>
        <v>62.282932553086042</v>
      </c>
      <c r="AK181" s="75">
        <f t="shared" ca="1" si="75"/>
        <v>64.531165405709146</v>
      </c>
      <c r="AL181" s="75">
        <f t="shared" ca="1" si="75"/>
        <v>225.45408434911585</v>
      </c>
      <c r="AM181" s="75">
        <f t="shared" ca="1" si="75"/>
        <v>69.12315503790299</v>
      </c>
      <c r="AN181" s="75">
        <f t="shared" ca="1" si="75"/>
        <v>71.467791763490354</v>
      </c>
      <c r="AO181" s="75">
        <f t="shared" ca="1" si="75"/>
        <v>156.68412782033087</v>
      </c>
      <c r="AP181" s="75">
        <f t="shared" ca="1" si="75"/>
        <v>76.256593885373519</v>
      </c>
      <c r="AQ181" s="75">
        <f t="shared" ca="1" si="75"/>
        <v>78.701675556358083</v>
      </c>
      <c r="AR181" s="75">
        <f t="shared" ca="1" si="75"/>
        <v>81.18116552792138</v>
      </c>
      <c r="AS181" s="75">
        <f t="shared" ca="1" si="75"/>
        <v>259.22297180989273</v>
      </c>
      <c r="AT181" s="75">
        <f t="shared" ca="1" si="75"/>
        <v>81.331462784122522</v>
      </c>
    </row>
    <row r="182" spans="2:46" x14ac:dyDescent="0.35"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  <c r="AP182" s="30"/>
      <c r="AQ182" s="30"/>
      <c r="AR182" s="30"/>
      <c r="AS182" s="30"/>
      <c r="AT182" s="30"/>
    </row>
    <row r="183" spans="2:46" x14ac:dyDescent="0.35">
      <c r="B183" s="95" t="s">
        <v>160</v>
      </c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  <c r="AP183" s="30"/>
      <c r="AQ183" s="30"/>
      <c r="AR183" s="30"/>
      <c r="AS183" s="30"/>
      <c r="AT183" s="30"/>
    </row>
    <row r="184" spans="2:46" s="26" customFormat="1" x14ac:dyDescent="0.35">
      <c r="B184" s="96" t="s">
        <v>161</v>
      </c>
      <c r="J184" s="94">
        <f t="shared" ref="J184:AT184" si="76">-J103</f>
        <v>0</v>
      </c>
      <c r="K184" s="94">
        <f t="shared" si="76"/>
        <v>0</v>
      </c>
      <c r="L184" s="94">
        <f t="shared" si="76"/>
        <v>0</v>
      </c>
      <c r="M184" s="94">
        <f t="shared" si="76"/>
        <v>0</v>
      </c>
      <c r="N184" s="94">
        <f t="shared" si="76"/>
        <v>0</v>
      </c>
      <c r="O184" s="94">
        <f t="shared" si="76"/>
        <v>0</v>
      </c>
      <c r="P184" s="94">
        <f t="shared" si="76"/>
        <v>0</v>
      </c>
      <c r="Q184" s="94">
        <f t="shared" si="76"/>
        <v>0</v>
      </c>
      <c r="R184" s="94">
        <f t="shared" si="76"/>
        <v>0</v>
      </c>
      <c r="S184" s="94">
        <f t="shared" si="76"/>
        <v>0</v>
      </c>
      <c r="T184" s="94">
        <f t="shared" si="76"/>
        <v>0</v>
      </c>
      <c r="U184" s="94">
        <f t="shared" si="76"/>
        <v>0</v>
      </c>
      <c r="V184" s="94">
        <f t="shared" ca="1" si="76"/>
        <v>-360</v>
      </c>
      <c r="W184" s="94">
        <f t="shared" si="76"/>
        <v>0</v>
      </c>
      <c r="X184" s="94">
        <f t="shared" si="76"/>
        <v>0</v>
      </c>
      <c r="Y184" s="94">
        <f t="shared" si="76"/>
        <v>0</v>
      </c>
      <c r="Z184" s="94">
        <f t="shared" si="76"/>
        <v>0</v>
      </c>
      <c r="AA184" s="94">
        <f t="shared" si="76"/>
        <v>0</v>
      </c>
      <c r="AB184" s="94">
        <f t="shared" si="76"/>
        <v>0</v>
      </c>
      <c r="AC184" s="94">
        <f t="shared" si="76"/>
        <v>0</v>
      </c>
      <c r="AD184" s="94">
        <f t="shared" si="76"/>
        <v>0</v>
      </c>
      <c r="AE184" s="94">
        <f t="shared" si="76"/>
        <v>0</v>
      </c>
      <c r="AF184" s="94">
        <f t="shared" si="76"/>
        <v>0</v>
      </c>
      <c r="AG184" s="94">
        <f t="shared" si="76"/>
        <v>0</v>
      </c>
      <c r="AH184" s="94">
        <f t="shared" si="76"/>
        <v>0</v>
      </c>
      <c r="AI184" s="94">
        <f t="shared" si="76"/>
        <v>0</v>
      </c>
      <c r="AJ184" s="94">
        <f t="shared" si="76"/>
        <v>0</v>
      </c>
      <c r="AK184" s="94">
        <f t="shared" si="76"/>
        <v>0</v>
      </c>
      <c r="AL184" s="94">
        <f t="shared" si="76"/>
        <v>0</v>
      </c>
      <c r="AM184" s="94">
        <f t="shared" si="76"/>
        <v>0</v>
      </c>
      <c r="AN184" s="94">
        <f t="shared" si="76"/>
        <v>0</v>
      </c>
      <c r="AO184" s="94">
        <f t="shared" si="76"/>
        <v>0</v>
      </c>
      <c r="AP184" s="94">
        <f t="shared" si="76"/>
        <v>0</v>
      </c>
      <c r="AQ184" s="94">
        <f t="shared" si="76"/>
        <v>0</v>
      </c>
      <c r="AR184" s="94">
        <f t="shared" si="76"/>
        <v>0</v>
      </c>
      <c r="AS184" s="94">
        <f t="shared" si="76"/>
        <v>0</v>
      </c>
      <c r="AT184" s="94">
        <f t="shared" ca="1" si="76"/>
        <v>-360</v>
      </c>
    </row>
    <row r="185" spans="2:46" s="75" customFormat="1" x14ac:dyDescent="0.35">
      <c r="B185" s="75" t="s">
        <v>162</v>
      </c>
      <c r="J185" s="75">
        <f t="shared" ref="J185:AT185" si="77">J184</f>
        <v>0</v>
      </c>
      <c r="K185" s="75">
        <f t="shared" si="77"/>
        <v>0</v>
      </c>
      <c r="L185" s="75">
        <f t="shared" si="77"/>
        <v>0</v>
      </c>
      <c r="M185" s="75">
        <f t="shared" si="77"/>
        <v>0</v>
      </c>
      <c r="N185" s="75">
        <f t="shared" si="77"/>
        <v>0</v>
      </c>
      <c r="O185" s="75">
        <f t="shared" si="77"/>
        <v>0</v>
      </c>
      <c r="P185" s="75">
        <f t="shared" si="77"/>
        <v>0</v>
      </c>
      <c r="Q185" s="75">
        <f t="shared" si="77"/>
        <v>0</v>
      </c>
      <c r="R185" s="75">
        <f t="shared" si="77"/>
        <v>0</v>
      </c>
      <c r="S185" s="75">
        <f t="shared" si="77"/>
        <v>0</v>
      </c>
      <c r="T185" s="75">
        <f t="shared" si="77"/>
        <v>0</v>
      </c>
      <c r="U185" s="75">
        <f t="shared" si="77"/>
        <v>0</v>
      </c>
      <c r="V185" s="75">
        <f t="shared" ca="1" si="77"/>
        <v>-360</v>
      </c>
      <c r="W185" s="75">
        <f t="shared" si="77"/>
        <v>0</v>
      </c>
      <c r="X185" s="75">
        <f t="shared" si="77"/>
        <v>0</v>
      </c>
      <c r="Y185" s="75">
        <f t="shared" si="77"/>
        <v>0</v>
      </c>
      <c r="Z185" s="75">
        <f t="shared" si="77"/>
        <v>0</v>
      </c>
      <c r="AA185" s="75">
        <f t="shared" si="77"/>
        <v>0</v>
      </c>
      <c r="AB185" s="75">
        <f t="shared" si="77"/>
        <v>0</v>
      </c>
      <c r="AC185" s="75">
        <f t="shared" si="77"/>
        <v>0</v>
      </c>
      <c r="AD185" s="75">
        <f t="shared" si="77"/>
        <v>0</v>
      </c>
      <c r="AE185" s="75">
        <f t="shared" si="77"/>
        <v>0</v>
      </c>
      <c r="AF185" s="75">
        <f t="shared" si="77"/>
        <v>0</v>
      </c>
      <c r="AG185" s="75">
        <f t="shared" si="77"/>
        <v>0</v>
      </c>
      <c r="AH185" s="75">
        <f t="shared" si="77"/>
        <v>0</v>
      </c>
      <c r="AI185" s="75">
        <f t="shared" si="77"/>
        <v>0</v>
      </c>
      <c r="AJ185" s="75">
        <f t="shared" si="77"/>
        <v>0</v>
      </c>
      <c r="AK185" s="75">
        <f t="shared" si="77"/>
        <v>0</v>
      </c>
      <c r="AL185" s="75">
        <f t="shared" si="77"/>
        <v>0</v>
      </c>
      <c r="AM185" s="75">
        <f t="shared" si="77"/>
        <v>0</v>
      </c>
      <c r="AN185" s="75">
        <f t="shared" si="77"/>
        <v>0</v>
      </c>
      <c r="AO185" s="75">
        <f t="shared" si="77"/>
        <v>0</v>
      </c>
      <c r="AP185" s="75">
        <f t="shared" si="77"/>
        <v>0</v>
      </c>
      <c r="AQ185" s="75">
        <f t="shared" si="77"/>
        <v>0</v>
      </c>
      <c r="AR185" s="75">
        <f t="shared" si="77"/>
        <v>0</v>
      </c>
      <c r="AS185" s="75">
        <f t="shared" si="77"/>
        <v>0</v>
      </c>
      <c r="AT185" s="75">
        <f t="shared" ca="1" si="77"/>
        <v>-360</v>
      </c>
    </row>
    <row r="186" spans="2:46" s="28" customFormat="1" x14ac:dyDescent="0.35">
      <c r="D186" s="29"/>
      <c r="E186" s="29"/>
      <c r="F186" s="29"/>
      <c r="G186" s="29"/>
      <c r="H186" s="29"/>
    </row>
    <row r="187" spans="2:46" x14ac:dyDescent="0.35">
      <c r="B187" s="95" t="s">
        <v>163</v>
      </c>
      <c r="D187" s="33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  <c r="AO187" s="30"/>
      <c r="AP187" s="30"/>
      <c r="AQ187" s="30"/>
      <c r="AR187" s="30"/>
      <c r="AS187" s="30"/>
      <c r="AT187" s="30"/>
    </row>
    <row r="188" spans="2:46" x14ac:dyDescent="0.35">
      <c r="B188" s="96" t="s">
        <v>164</v>
      </c>
      <c r="D188" s="33"/>
      <c r="J188" s="94">
        <f t="shared" ref="J188:AT188" si="78">J164-I164</f>
        <v>700</v>
      </c>
      <c r="K188" s="94">
        <f t="shared" si="78"/>
        <v>0</v>
      </c>
      <c r="L188" s="94">
        <f t="shared" si="78"/>
        <v>0</v>
      </c>
      <c r="M188" s="94">
        <f t="shared" si="78"/>
        <v>0</v>
      </c>
      <c r="N188" s="94">
        <f t="shared" si="78"/>
        <v>0</v>
      </c>
      <c r="O188" s="94">
        <f t="shared" si="78"/>
        <v>0</v>
      </c>
      <c r="P188" s="94">
        <f t="shared" si="78"/>
        <v>0</v>
      </c>
      <c r="Q188" s="94">
        <f t="shared" si="78"/>
        <v>0</v>
      </c>
      <c r="R188" s="94">
        <f t="shared" si="78"/>
        <v>0</v>
      </c>
      <c r="S188" s="94">
        <f t="shared" si="78"/>
        <v>0</v>
      </c>
      <c r="T188" s="94">
        <f t="shared" si="78"/>
        <v>0</v>
      </c>
      <c r="U188" s="94">
        <f t="shared" si="78"/>
        <v>0</v>
      </c>
      <c r="V188" s="94">
        <f t="shared" si="78"/>
        <v>0</v>
      </c>
      <c r="W188" s="94">
        <f t="shared" si="78"/>
        <v>0</v>
      </c>
      <c r="X188" s="94">
        <f t="shared" si="78"/>
        <v>0</v>
      </c>
      <c r="Y188" s="94">
        <f t="shared" si="78"/>
        <v>0</v>
      </c>
      <c r="Z188" s="94">
        <f t="shared" si="78"/>
        <v>0</v>
      </c>
      <c r="AA188" s="94">
        <f t="shared" si="78"/>
        <v>0</v>
      </c>
      <c r="AB188" s="94">
        <f t="shared" si="78"/>
        <v>0</v>
      </c>
      <c r="AC188" s="94">
        <f t="shared" si="78"/>
        <v>0</v>
      </c>
      <c r="AD188" s="94">
        <f t="shared" si="78"/>
        <v>0</v>
      </c>
      <c r="AE188" s="94">
        <f t="shared" si="78"/>
        <v>0</v>
      </c>
      <c r="AF188" s="94">
        <f t="shared" si="78"/>
        <v>0</v>
      </c>
      <c r="AG188" s="94">
        <f t="shared" si="78"/>
        <v>0</v>
      </c>
      <c r="AH188" s="94">
        <f t="shared" si="78"/>
        <v>0</v>
      </c>
      <c r="AI188" s="94">
        <f t="shared" si="78"/>
        <v>0</v>
      </c>
      <c r="AJ188" s="94">
        <f t="shared" si="78"/>
        <v>0</v>
      </c>
      <c r="AK188" s="94">
        <f t="shared" si="78"/>
        <v>0</v>
      </c>
      <c r="AL188" s="94">
        <f t="shared" si="78"/>
        <v>0</v>
      </c>
      <c r="AM188" s="94">
        <f t="shared" si="78"/>
        <v>0</v>
      </c>
      <c r="AN188" s="94">
        <f t="shared" si="78"/>
        <v>0</v>
      </c>
      <c r="AO188" s="94">
        <f t="shared" si="78"/>
        <v>0</v>
      </c>
      <c r="AP188" s="94">
        <f t="shared" si="78"/>
        <v>0</v>
      </c>
      <c r="AQ188" s="94">
        <f t="shared" si="78"/>
        <v>0</v>
      </c>
      <c r="AR188" s="94">
        <f t="shared" si="78"/>
        <v>0</v>
      </c>
      <c r="AS188" s="94">
        <f t="shared" si="78"/>
        <v>0</v>
      </c>
      <c r="AT188" s="94">
        <f t="shared" si="78"/>
        <v>0</v>
      </c>
    </row>
    <row r="189" spans="2:46" s="26" customFormat="1" x14ac:dyDescent="0.35">
      <c r="B189" s="96" t="s">
        <v>165</v>
      </c>
      <c r="J189" s="94">
        <f t="shared" ref="J189:AT189" si="79">(J167-I167)+(J169-I169)</f>
        <v>0</v>
      </c>
      <c r="K189" s="94">
        <f t="shared" si="79"/>
        <v>0</v>
      </c>
      <c r="L189" s="94">
        <f t="shared" si="79"/>
        <v>0</v>
      </c>
      <c r="M189" s="94">
        <f t="shared" si="79"/>
        <v>0</v>
      </c>
      <c r="N189" s="94">
        <f t="shared" si="79"/>
        <v>0</v>
      </c>
      <c r="O189" s="94">
        <f t="shared" si="79"/>
        <v>0</v>
      </c>
      <c r="P189" s="94">
        <f t="shared" si="79"/>
        <v>-200</v>
      </c>
      <c r="Q189" s="94">
        <f t="shared" si="79"/>
        <v>0</v>
      </c>
      <c r="R189" s="94">
        <f t="shared" si="79"/>
        <v>0</v>
      </c>
      <c r="S189" s="94">
        <f t="shared" si="79"/>
        <v>0</v>
      </c>
      <c r="T189" s="94">
        <f t="shared" si="79"/>
        <v>0</v>
      </c>
      <c r="U189" s="94">
        <f t="shared" si="79"/>
        <v>0</v>
      </c>
      <c r="V189" s="94">
        <f t="shared" si="79"/>
        <v>0</v>
      </c>
      <c r="W189" s="94">
        <f t="shared" si="79"/>
        <v>0</v>
      </c>
      <c r="X189" s="94">
        <f t="shared" si="79"/>
        <v>0</v>
      </c>
      <c r="Y189" s="94">
        <f t="shared" si="79"/>
        <v>0</v>
      </c>
      <c r="Z189" s="94">
        <f t="shared" si="79"/>
        <v>0</v>
      </c>
      <c r="AA189" s="94">
        <f t="shared" si="79"/>
        <v>0</v>
      </c>
      <c r="AB189" s="94">
        <f t="shared" si="79"/>
        <v>0</v>
      </c>
      <c r="AC189" s="94">
        <f t="shared" si="79"/>
        <v>0</v>
      </c>
      <c r="AD189" s="94">
        <f t="shared" si="79"/>
        <v>0</v>
      </c>
      <c r="AE189" s="94">
        <f t="shared" si="79"/>
        <v>0</v>
      </c>
      <c r="AF189" s="94">
        <f t="shared" si="79"/>
        <v>0</v>
      </c>
      <c r="AG189" s="94">
        <f t="shared" si="79"/>
        <v>0</v>
      </c>
      <c r="AH189" s="94">
        <f t="shared" si="79"/>
        <v>0</v>
      </c>
      <c r="AI189" s="94">
        <f t="shared" si="79"/>
        <v>0</v>
      </c>
      <c r="AJ189" s="94">
        <f t="shared" si="79"/>
        <v>0</v>
      </c>
      <c r="AK189" s="94">
        <f t="shared" si="79"/>
        <v>0</v>
      </c>
      <c r="AL189" s="94">
        <f t="shared" si="79"/>
        <v>0</v>
      </c>
      <c r="AM189" s="94">
        <f t="shared" si="79"/>
        <v>0</v>
      </c>
      <c r="AN189" s="94">
        <f t="shared" si="79"/>
        <v>0</v>
      </c>
      <c r="AO189" s="94">
        <f t="shared" si="79"/>
        <v>0</v>
      </c>
      <c r="AP189" s="94">
        <f t="shared" si="79"/>
        <v>0</v>
      </c>
      <c r="AQ189" s="94">
        <f t="shared" si="79"/>
        <v>0</v>
      </c>
      <c r="AR189" s="94">
        <f t="shared" si="79"/>
        <v>0</v>
      </c>
      <c r="AS189" s="94">
        <f t="shared" si="79"/>
        <v>0</v>
      </c>
      <c r="AT189" s="94">
        <f t="shared" si="79"/>
        <v>0</v>
      </c>
    </row>
    <row r="190" spans="2:46" s="75" customFormat="1" x14ac:dyDescent="0.35">
      <c r="B190" s="75" t="s">
        <v>166</v>
      </c>
      <c r="J190" s="75">
        <f t="shared" ref="J190:AT190" si="80">SUM(J188:J189)</f>
        <v>700</v>
      </c>
      <c r="K190" s="75">
        <f t="shared" si="80"/>
        <v>0</v>
      </c>
      <c r="L190" s="75">
        <f t="shared" si="80"/>
        <v>0</v>
      </c>
      <c r="M190" s="75">
        <f t="shared" si="80"/>
        <v>0</v>
      </c>
      <c r="N190" s="75">
        <f t="shared" si="80"/>
        <v>0</v>
      </c>
      <c r="O190" s="75">
        <f t="shared" si="80"/>
        <v>0</v>
      </c>
      <c r="P190" s="75">
        <f t="shared" si="80"/>
        <v>-200</v>
      </c>
      <c r="Q190" s="75">
        <f t="shared" si="80"/>
        <v>0</v>
      </c>
      <c r="R190" s="75">
        <f t="shared" si="80"/>
        <v>0</v>
      </c>
      <c r="S190" s="75">
        <f t="shared" si="80"/>
        <v>0</v>
      </c>
      <c r="T190" s="75">
        <f t="shared" si="80"/>
        <v>0</v>
      </c>
      <c r="U190" s="75">
        <f t="shared" si="80"/>
        <v>0</v>
      </c>
      <c r="V190" s="75">
        <f t="shared" si="80"/>
        <v>0</v>
      </c>
      <c r="W190" s="75">
        <f t="shared" si="80"/>
        <v>0</v>
      </c>
      <c r="X190" s="75">
        <f t="shared" si="80"/>
        <v>0</v>
      </c>
      <c r="Y190" s="75">
        <f t="shared" si="80"/>
        <v>0</v>
      </c>
      <c r="Z190" s="75">
        <f t="shared" si="80"/>
        <v>0</v>
      </c>
      <c r="AA190" s="75">
        <f t="shared" si="80"/>
        <v>0</v>
      </c>
      <c r="AB190" s="75">
        <f t="shared" si="80"/>
        <v>0</v>
      </c>
      <c r="AC190" s="75">
        <f t="shared" si="80"/>
        <v>0</v>
      </c>
      <c r="AD190" s="75">
        <f t="shared" si="80"/>
        <v>0</v>
      </c>
      <c r="AE190" s="75">
        <f t="shared" si="80"/>
        <v>0</v>
      </c>
      <c r="AF190" s="75">
        <f t="shared" si="80"/>
        <v>0</v>
      </c>
      <c r="AG190" s="75">
        <f t="shared" si="80"/>
        <v>0</v>
      </c>
      <c r="AH190" s="75">
        <f t="shared" si="80"/>
        <v>0</v>
      </c>
      <c r="AI190" s="75">
        <f t="shared" si="80"/>
        <v>0</v>
      </c>
      <c r="AJ190" s="75">
        <f t="shared" si="80"/>
        <v>0</v>
      </c>
      <c r="AK190" s="75">
        <f t="shared" si="80"/>
        <v>0</v>
      </c>
      <c r="AL190" s="75">
        <f t="shared" si="80"/>
        <v>0</v>
      </c>
      <c r="AM190" s="75">
        <f t="shared" si="80"/>
        <v>0</v>
      </c>
      <c r="AN190" s="75">
        <f t="shared" si="80"/>
        <v>0</v>
      </c>
      <c r="AO190" s="75">
        <f t="shared" si="80"/>
        <v>0</v>
      </c>
      <c r="AP190" s="75">
        <f t="shared" si="80"/>
        <v>0</v>
      </c>
      <c r="AQ190" s="75">
        <f t="shared" si="80"/>
        <v>0</v>
      </c>
      <c r="AR190" s="75">
        <f t="shared" si="80"/>
        <v>0</v>
      </c>
      <c r="AS190" s="75">
        <f t="shared" si="80"/>
        <v>0</v>
      </c>
      <c r="AT190" s="75">
        <f t="shared" si="80"/>
        <v>0</v>
      </c>
    </row>
    <row r="192" spans="2:46" x14ac:dyDescent="0.35">
      <c r="B192" s="96" t="s">
        <v>167</v>
      </c>
      <c r="J192" s="94">
        <f ca="1">I160</f>
        <v>170</v>
      </c>
      <c r="K192" s="94">
        <f t="shared" ref="K192:AT192" ca="1" si="81">J194</f>
        <v>891.68408764367814</v>
      </c>
      <c r="L192" s="94">
        <f t="shared" ca="1" si="81"/>
        <v>915.38885237068962</v>
      </c>
      <c r="M192" s="94">
        <f t="shared" ca="1" si="81"/>
        <v>941.14272613936782</v>
      </c>
      <c r="N192" s="94">
        <f t="shared" ca="1" si="81"/>
        <v>968.97453240182244</v>
      </c>
      <c r="O192" s="94">
        <f t="shared" ca="1" si="81"/>
        <v>1135.8888568948378</v>
      </c>
      <c r="P192" s="94">
        <f t="shared" ca="1" si="81"/>
        <v>1164.5494442627103</v>
      </c>
      <c r="Q192" s="94">
        <f t="shared" ca="1" si="81"/>
        <v>994.9434758581358</v>
      </c>
      <c r="R192" s="94">
        <f t="shared" ca="1" si="81"/>
        <v>1088.5746697795746</v>
      </c>
      <c r="S192" s="94">
        <f t="shared" ca="1" si="81"/>
        <v>1122.5089886711494</v>
      </c>
      <c r="T192" s="94">
        <f t="shared" ca="1" si="81"/>
        <v>1158.2508252110501</v>
      </c>
      <c r="U192" s="94">
        <f t="shared" ca="1" si="81"/>
        <v>1195.8255527503454</v>
      </c>
      <c r="V192" s="94">
        <f t="shared" ca="1" si="81"/>
        <v>1365.4991307390376</v>
      </c>
      <c r="W192" s="94">
        <f t="shared" ca="1" si="81"/>
        <v>1043.2007848986493</v>
      </c>
      <c r="X192" s="94">
        <f t="shared" ca="1" si="81"/>
        <v>1082.7823983014059</v>
      </c>
      <c r="Y192" s="94">
        <f t="shared" ca="1" si="81"/>
        <v>1124.2704565945194</v>
      </c>
      <c r="Z192" s="94">
        <f t="shared" ca="1" si="81"/>
        <v>1167.6918104309677</v>
      </c>
      <c r="AA192" s="94">
        <f t="shared" ca="1" si="81"/>
        <v>1349.7624469697516</v>
      </c>
      <c r="AB192" s="94">
        <f t="shared" ca="1" si="81"/>
        <v>1397.132428716435</v>
      </c>
      <c r="AC192" s="94">
        <f t="shared" ca="1" si="81"/>
        <v>1446.518497883666</v>
      </c>
      <c r="AD192" s="94">
        <f t="shared" ca="1" si="81"/>
        <v>1569.3177223852756</v>
      </c>
      <c r="AE192" s="94">
        <f t="shared" ca="1" si="81"/>
        <v>1622.8214395370062</v>
      </c>
      <c r="AF192" s="94">
        <f t="shared" ca="1" si="81"/>
        <v>1678.4275034599384</v>
      </c>
      <c r="AG192" s="94">
        <f t="shared" ca="1" si="81"/>
        <v>1736.1654623772474</v>
      </c>
      <c r="AH192" s="94">
        <f t="shared" ca="1" si="81"/>
        <v>1947.2719763182849</v>
      </c>
      <c r="AI192" s="94">
        <f t="shared" ca="1" si="81"/>
        <v>2005.1518112642805</v>
      </c>
      <c r="AJ192" s="94">
        <f t="shared" ca="1" si="81"/>
        <v>2065.2177754548766</v>
      </c>
      <c r="AK192" s="94">
        <f t="shared" ca="1" si="81"/>
        <v>2127.5007080079627</v>
      </c>
      <c r="AL192" s="94">
        <f t="shared" ca="1" si="81"/>
        <v>2192.0318734136717</v>
      </c>
      <c r="AM192" s="94">
        <f t="shared" ca="1" si="81"/>
        <v>2417.4859577627876</v>
      </c>
      <c r="AN192" s="94">
        <f t="shared" ca="1" si="81"/>
        <v>2486.6091128006906</v>
      </c>
      <c r="AO192" s="94">
        <f t="shared" ca="1" si="81"/>
        <v>2558.0769045641809</v>
      </c>
      <c r="AP192" s="94">
        <f t="shared" ca="1" si="81"/>
        <v>2714.761032384512</v>
      </c>
      <c r="AQ192" s="94">
        <f t="shared" ca="1" si="81"/>
        <v>2791.0176262698856</v>
      </c>
      <c r="AR192" s="94">
        <f t="shared" ca="1" si="81"/>
        <v>2869.7193018262437</v>
      </c>
      <c r="AS192" s="94">
        <f t="shared" ca="1" si="81"/>
        <v>2950.9004673541649</v>
      </c>
      <c r="AT192" s="94">
        <f t="shared" ca="1" si="81"/>
        <v>3210.1234391640578</v>
      </c>
    </row>
    <row r="193" spans="2:46" x14ac:dyDescent="0.35">
      <c r="B193" s="95" t="s">
        <v>168</v>
      </c>
      <c r="J193" s="97">
        <f t="shared" ref="J193:AT193" ca="1" si="82">J181+J185+J190</f>
        <v>721.68408764367814</v>
      </c>
      <c r="K193" s="97">
        <f t="shared" ca="1" si="82"/>
        <v>23.70476472701149</v>
      </c>
      <c r="L193" s="97">
        <f t="shared" ca="1" si="82"/>
        <v>25.75387376867819</v>
      </c>
      <c r="M193" s="97">
        <f t="shared" ca="1" si="82"/>
        <v>27.831806262454613</v>
      </c>
      <c r="N193" s="97">
        <f t="shared" ca="1" si="82"/>
        <v>166.91432449301539</v>
      </c>
      <c r="O193" s="97">
        <f t="shared" ca="1" si="82"/>
        <v>28.660587367872477</v>
      </c>
      <c r="P193" s="97">
        <f t="shared" ca="1" si="82"/>
        <v>-169.60596840457453</v>
      </c>
      <c r="Q193" s="97">
        <f t="shared" ca="1" si="82"/>
        <v>93.631193921438722</v>
      </c>
      <c r="R193" s="97">
        <f t="shared" ca="1" si="82"/>
        <v>33.934318891574812</v>
      </c>
      <c r="S193" s="97">
        <f t="shared" ca="1" si="82"/>
        <v>35.741836539900667</v>
      </c>
      <c r="T193" s="97">
        <f t="shared" ca="1" si="82"/>
        <v>37.574727539295225</v>
      </c>
      <c r="U193" s="97">
        <f t="shared" ca="1" si="82"/>
        <v>169.67357798869222</v>
      </c>
      <c r="V193" s="97">
        <f t="shared" ca="1" si="82"/>
        <v>-322.29834584038832</v>
      </c>
      <c r="W193" s="97">
        <f t="shared" ca="1" si="82"/>
        <v>39.581613402756673</v>
      </c>
      <c r="X193" s="97">
        <f t="shared" ca="1" si="82"/>
        <v>41.488058293113511</v>
      </c>
      <c r="Y193" s="97">
        <f t="shared" ca="1" si="82"/>
        <v>43.421353836448318</v>
      </c>
      <c r="Z193" s="97">
        <f t="shared" ca="1" si="82"/>
        <v>182.07063653878382</v>
      </c>
      <c r="AA193" s="97">
        <f t="shared" ca="1" si="82"/>
        <v>47.369981746683294</v>
      </c>
      <c r="AB193" s="97">
        <f t="shared" ca="1" si="82"/>
        <v>49.386069167231028</v>
      </c>
      <c r="AC193" s="97">
        <f t="shared" ca="1" si="82"/>
        <v>122.7992245016096</v>
      </c>
      <c r="AD193" s="97">
        <f t="shared" ca="1" si="82"/>
        <v>53.503717151730548</v>
      </c>
      <c r="AE193" s="97">
        <f t="shared" ca="1" si="82"/>
        <v>55.606063922932179</v>
      </c>
      <c r="AF193" s="97">
        <f t="shared" ca="1" si="82"/>
        <v>57.737958917309079</v>
      </c>
      <c r="AG193" s="97">
        <f t="shared" ca="1" si="82"/>
        <v>211.10651394103749</v>
      </c>
      <c r="AH193" s="97">
        <f t="shared" ca="1" si="82"/>
        <v>57.879834945995583</v>
      </c>
      <c r="AI193" s="97">
        <f t="shared" ca="1" si="82"/>
        <v>60.06596419059629</v>
      </c>
      <c r="AJ193" s="97">
        <f t="shared" ca="1" si="82"/>
        <v>62.282932553086042</v>
      </c>
      <c r="AK193" s="97">
        <f t="shared" ca="1" si="82"/>
        <v>64.531165405709146</v>
      </c>
      <c r="AL193" s="97">
        <f t="shared" ca="1" si="82"/>
        <v>225.45408434911585</v>
      </c>
      <c r="AM193" s="97">
        <f t="shared" ca="1" si="82"/>
        <v>69.12315503790299</v>
      </c>
      <c r="AN193" s="97">
        <f t="shared" ca="1" si="82"/>
        <v>71.467791763490354</v>
      </c>
      <c r="AO193" s="97">
        <f t="shared" ca="1" si="82"/>
        <v>156.68412782033087</v>
      </c>
      <c r="AP193" s="97">
        <f t="shared" ca="1" si="82"/>
        <v>76.256593885373519</v>
      </c>
      <c r="AQ193" s="97">
        <f t="shared" ca="1" si="82"/>
        <v>78.701675556358083</v>
      </c>
      <c r="AR193" s="97">
        <f t="shared" ca="1" si="82"/>
        <v>81.18116552792138</v>
      </c>
      <c r="AS193" s="97">
        <f t="shared" ca="1" si="82"/>
        <v>259.22297180989273</v>
      </c>
      <c r="AT193" s="97">
        <f t="shared" ca="1" si="82"/>
        <v>-278.66853721587745</v>
      </c>
    </row>
    <row r="194" spans="2:46" s="75" customFormat="1" x14ac:dyDescent="0.35">
      <c r="B194" s="75" t="s">
        <v>169</v>
      </c>
      <c r="J194" s="75">
        <f t="shared" ref="J194:AT194" ca="1" si="83">J192+J193</f>
        <v>891.68408764367814</v>
      </c>
      <c r="K194" s="75">
        <f t="shared" ca="1" si="83"/>
        <v>915.38885237068962</v>
      </c>
      <c r="L194" s="75">
        <f t="shared" ca="1" si="83"/>
        <v>941.14272613936782</v>
      </c>
      <c r="M194" s="75">
        <f t="shared" ca="1" si="83"/>
        <v>968.97453240182244</v>
      </c>
      <c r="N194" s="75">
        <f t="shared" ca="1" si="83"/>
        <v>1135.8888568948378</v>
      </c>
      <c r="O194" s="75">
        <f t="shared" ca="1" si="83"/>
        <v>1164.5494442627103</v>
      </c>
      <c r="P194" s="75">
        <f t="shared" ca="1" si="83"/>
        <v>994.9434758581358</v>
      </c>
      <c r="Q194" s="75">
        <f t="shared" ca="1" si="83"/>
        <v>1088.5746697795746</v>
      </c>
      <c r="R194" s="75">
        <f t="shared" ca="1" si="83"/>
        <v>1122.5089886711494</v>
      </c>
      <c r="S194" s="75">
        <f t="shared" ca="1" si="83"/>
        <v>1158.2508252110501</v>
      </c>
      <c r="T194" s="75">
        <f t="shared" ca="1" si="83"/>
        <v>1195.8255527503454</v>
      </c>
      <c r="U194" s="75">
        <f t="shared" ca="1" si="83"/>
        <v>1365.4991307390376</v>
      </c>
      <c r="V194" s="75">
        <f t="shared" ca="1" si="83"/>
        <v>1043.2007848986493</v>
      </c>
      <c r="W194" s="75">
        <f t="shared" ca="1" si="83"/>
        <v>1082.7823983014059</v>
      </c>
      <c r="X194" s="75">
        <f t="shared" ca="1" si="83"/>
        <v>1124.2704565945194</v>
      </c>
      <c r="Y194" s="75">
        <f t="shared" ca="1" si="83"/>
        <v>1167.6918104309677</v>
      </c>
      <c r="Z194" s="75">
        <f t="shared" ca="1" si="83"/>
        <v>1349.7624469697516</v>
      </c>
      <c r="AA194" s="75">
        <f t="shared" ca="1" si="83"/>
        <v>1397.132428716435</v>
      </c>
      <c r="AB194" s="75">
        <f t="shared" ca="1" si="83"/>
        <v>1446.518497883666</v>
      </c>
      <c r="AC194" s="75">
        <f t="shared" ca="1" si="83"/>
        <v>1569.3177223852756</v>
      </c>
      <c r="AD194" s="75">
        <f t="shared" ca="1" si="83"/>
        <v>1622.8214395370062</v>
      </c>
      <c r="AE194" s="75">
        <f t="shared" ca="1" si="83"/>
        <v>1678.4275034599384</v>
      </c>
      <c r="AF194" s="75">
        <f t="shared" ca="1" si="83"/>
        <v>1736.1654623772474</v>
      </c>
      <c r="AG194" s="75">
        <f t="shared" ca="1" si="83"/>
        <v>1947.2719763182849</v>
      </c>
      <c r="AH194" s="75">
        <f t="shared" ca="1" si="83"/>
        <v>2005.1518112642805</v>
      </c>
      <c r="AI194" s="75">
        <f t="shared" ca="1" si="83"/>
        <v>2065.2177754548766</v>
      </c>
      <c r="AJ194" s="75">
        <f t="shared" ca="1" si="83"/>
        <v>2127.5007080079627</v>
      </c>
      <c r="AK194" s="75">
        <f t="shared" ca="1" si="83"/>
        <v>2192.0318734136717</v>
      </c>
      <c r="AL194" s="75">
        <f t="shared" ca="1" si="83"/>
        <v>2417.4859577627876</v>
      </c>
      <c r="AM194" s="75">
        <f t="shared" ca="1" si="83"/>
        <v>2486.6091128006906</v>
      </c>
      <c r="AN194" s="75">
        <f t="shared" ca="1" si="83"/>
        <v>2558.0769045641809</v>
      </c>
      <c r="AO194" s="75">
        <f t="shared" ca="1" si="83"/>
        <v>2714.761032384512</v>
      </c>
      <c r="AP194" s="75">
        <f t="shared" ca="1" si="83"/>
        <v>2791.0176262698856</v>
      </c>
      <c r="AQ194" s="75">
        <f t="shared" ca="1" si="83"/>
        <v>2869.7193018262437</v>
      </c>
      <c r="AR194" s="75">
        <f t="shared" ca="1" si="83"/>
        <v>2950.9004673541649</v>
      </c>
      <c r="AS194" s="75">
        <f t="shared" ca="1" si="83"/>
        <v>3210.1234391640578</v>
      </c>
      <c r="AT194" s="75">
        <f t="shared" ca="1" si="83"/>
        <v>2931.4549019481801</v>
      </c>
    </row>
    <row r="196" spans="2:46" x14ac:dyDescent="0.35">
      <c r="B196" s="96" t="s">
        <v>151</v>
      </c>
      <c r="J196" s="94">
        <f t="shared" ref="J196:AT196" ca="1" si="84">J194-J160</f>
        <v>0</v>
      </c>
      <c r="K196" s="94">
        <f t="shared" ca="1" si="84"/>
        <v>0</v>
      </c>
      <c r="L196" s="94">
        <f t="shared" ca="1" si="84"/>
        <v>0</v>
      </c>
      <c r="M196" s="94">
        <f t="shared" ca="1" si="84"/>
        <v>0</v>
      </c>
      <c r="N196" s="94">
        <f t="shared" ca="1" si="84"/>
        <v>0</v>
      </c>
      <c r="O196" s="94">
        <f t="shared" ca="1" si="84"/>
        <v>0</v>
      </c>
      <c r="P196" s="94">
        <f t="shared" ca="1" si="84"/>
        <v>0</v>
      </c>
      <c r="Q196" s="94">
        <f t="shared" ca="1" si="84"/>
        <v>0</v>
      </c>
      <c r="R196" s="94">
        <f t="shared" ca="1" si="84"/>
        <v>0</v>
      </c>
      <c r="S196" s="94">
        <f t="shared" ca="1" si="84"/>
        <v>0</v>
      </c>
      <c r="T196" s="94">
        <f t="shared" ca="1" si="84"/>
        <v>0</v>
      </c>
      <c r="U196" s="94">
        <f t="shared" ca="1" si="84"/>
        <v>0</v>
      </c>
      <c r="V196" s="94">
        <f t="shared" ca="1" si="84"/>
        <v>0</v>
      </c>
      <c r="W196" s="94">
        <f t="shared" ca="1" si="84"/>
        <v>0</v>
      </c>
      <c r="X196" s="94">
        <f t="shared" ca="1" si="84"/>
        <v>0</v>
      </c>
      <c r="Y196" s="94">
        <f t="shared" ca="1" si="84"/>
        <v>0</v>
      </c>
      <c r="Z196" s="94">
        <f t="shared" ca="1" si="84"/>
        <v>0</v>
      </c>
      <c r="AA196" s="94">
        <f t="shared" ca="1" si="84"/>
        <v>0</v>
      </c>
      <c r="AB196" s="94">
        <f t="shared" ca="1" si="84"/>
        <v>0</v>
      </c>
      <c r="AC196" s="94">
        <f t="shared" ca="1" si="84"/>
        <v>0</v>
      </c>
      <c r="AD196" s="94">
        <f t="shared" ca="1" si="84"/>
        <v>0</v>
      </c>
      <c r="AE196" s="94">
        <f t="shared" ca="1" si="84"/>
        <v>0</v>
      </c>
      <c r="AF196" s="94">
        <f t="shared" ca="1" si="84"/>
        <v>0</v>
      </c>
      <c r="AG196" s="94">
        <f t="shared" ca="1" si="84"/>
        <v>0</v>
      </c>
      <c r="AH196" s="94">
        <f t="shared" ca="1" si="84"/>
        <v>0</v>
      </c>
      <c r="AI196" s="94">
        <f t="shared" ca="1" si="84"/>
        <v>0</v>
      </c>
      <c r="AJ196" s="94">
        <f t="shared" ca="1" si="84"/>
        <v>0</v>
      </c>
      <c r="AK196" s="94">
        <f t="shared" ca="1" si="84"/>
        <v>0</v>
      </c>
      <c r="AL196" s="94">
        <f t="shared" ca="1" si="84"/>
        <v>0</v>
      </c>
      <c r="AM196" s="94">
        <f t="shared" ca="1" si="84"/>
        <v>0</v>
      </c>
      <c r="AN196" s="94">
        <f t="shared" ca="1" si="84"/>
        <v>0</v>
      </c>
      <c r="AO196" s="94">
        <f t="shared" ca="1" si="84"/>
        <v>0</v>
      </c>
      <c r="AP196" s="94">
        <f t="shared" ca="1" si="84"/>
        <v>0</v>
      </c>
      <c r="AQ196" s="94">
        <f t="shared" ca="1" si="84"/>
        <v>0</v>
      </c>
      <c r="AR196" s="94">
        <f t="shared" ca="1" si="84"/>
        <v>0</v>
      </c>
      <c r="AS196" s="94">
        <f t="shared" ca="1" si="84"/>
        <v>0</v>
      </c>
      <c r="AT196" s="94">
        <f t="shared" ca="1" si="84"/>
        <v>0</v>
      </c>
    </row>
    <row r="198" spans="2:46" s="1" customFormat="1" ht="15" customHeight="1" thickBot="1" x14ac:dyDescent="0.4">
      <c r="B198" s="1" t="s">
        <v>170</v>
      </c>
      <c r="D198" s="2"/>
      <c r="E198" s="2"/>
      <c r="F198" s="2"/>
      <c r="G198" s="2"/>
      <c r="H198" s="2"/>
    </row>
    <row r="199" spans="2:46" s="75" customFormat="1" x14ac:dyDescent="0.35">
      <c r="B199" s="75" t="s">
        <v>171</v>
      </c>
    </row>
    <row r="200" spans="2:46" x14ac:dyDescent="0.35">
      <c r="B200" s="96" t="s">
        <v>172</v>
      </c>
      <c r="D200" s="112">
        <v>0.8</v>
      </c>
      <c r="E200" s="98" t="s">
        <v>173</v>
      </c>
      <c r="I200" s="112">
        <f t="shared" ref="I200:AT200" ca="1" si="85">IFERROR((I163+I166)/I154,0)</f>
        <v>-0.14285714285714285</v>
      </c>
      <c r="J200" s="112">
        <f t="shared" ca="1" si="85"/>
        <v>0.62145734503112626</v>
      </c>
      <c r="K200" s="112">
        <f t="shared" ca="1" si="85"/>
        <v>0.62455022960872442</v>
      </c>
      <c r="L200" s="112">
        <f t="shared" ca="1" si="85"/>
        <v>0.62830209201432907</v>
      </c>
      <c r="M200" s="112">
        <f t="shared" ca="1" si="85"/>
        <v>0.63268195159921048</v>
      </c>
      <c r="N200" s="112">
        <f t="shared" ca="1" si="85"/>
        <v>0.67765042148823273</v>
      </c>
      <c r="O200" s="112">
        <f t="shared" ca="1" si="85"/>
        <v>0.68116043426644146</v>
      </c>
      <c r="P200" s="112">
        <f t="shared" ca="1" si="85"/>
        <v>0.81307423755297725</v>
      </c>
      <c r="Q200" s="112">
        <f t="shared" ca="1" si="85"/>
        <v>0.82587113814865665</v>
      </c>
      <c r="R200" s="112">
        <f t="shared" ca="1" si="85"/>
        <v>0.82869510903925603</v>
      </c>
      <c r="S200" s="112">
        <f t="shared" ca="1" si="85"/>
        <v>0.8316853683106199</v>
      </c>
      <c r="T200" s="112">
        <f t="shared" ca="1" si="85"/>
        <v>0.83482343963942007</v>
      </c>
      <c r="U200" s="112">
        <f t="shared" ca="1" si="85"/>
        <v>0.85353341097203339</v>
      </c>
      <c r="V200" s="112">
        <f t="shared" ca="1" si="85"/>
        <v>0.85592862201514897</v>
      </c>
      <c r="W200" s="112">
        <f t="shared" ca="1" si="85"/>
        <v>0.85843538237703043</v>
      </c>
      <c r="X200" s="112">
        <f t="shared" ca="1" si="85"/>
        <v>0.86104071053245712</v>
      </c>
      <c r="Y200" s="112">
        <f t="shared" ca="1" si="85"/>
        <v>0.86373161001608822</v>
      </c>
      <c r="Z200" s="112">
        <f t="shared" ca="1" si="85"/>
        <v>0.87765806562860127</v>
      </c>
      <c r="AA200" s="112">
        <f t="shared" ca="1" si="85"/>
        <v>0.88003352549864</v>
      </c>
      <c r="AB200" s="112">
        <f t="shared" ca="1" si="85"/>
        <v>0.88245793375225767</v>
      </c>
      <c r="AC200" s="112">
        <f t="shared" ca="1" si="85"/>
        <v>0.88946109490579961</v>
      </c>
      <c r="AD200" s="112">
        <f t="shared" ca="1" si="85"/>
        <v>0.89176443366188374</v>
      </c>
      <c r="AE200" s="112">
        <f t="shared" ca="1" si="85"/>
        <v>0.89409177761202629</v>
      </c>
      <c r="AF200" s="112">
        <f t="shared" ca="1" si="85"/>
        <v>0.89643559607067402</v>
      </c>
      <c r="AG200" s="112">
        <f t="shared" ca="1" si="85"/>
        <v>0.90598287279365886</v>
      </c>
      <c r="AH200" s="112">
        <f t="shared" ca="1" si="85"/>
        <v>0.90784054877548648</v>
      </c>
      <c r="AI200" s="112">
        <f t="shared" ca="1" si="85"/>
        <v>0.90971542291866458</v>
      </c>
      <c r="AJ200" s="112">
        <f t="shared" ca="1" si="85"/>
        <v>0.91160223760721293</v>
      </c>
      <c r="AK200" s="112">
        <f t="shared" ca="1" si="85"/>
        <v>0.91349600223949134</v>
      </c>
      <c r="AL200" s="112">
        <f t="shared" ca="1" si="85"/>
        <v>0.92071313642618569</v>
      </c>
      <c r="AM200" s="112">
        <f t="shared" ca="1" si="85"/>
        <v>0.92237860255698323</v>
      </c>
      <c r="AN200" s="112">
        <f t="shared" ca="1" si="85"/>
        <v>0.92404323639263231</v>
      </c>
      <c r="AO200" s="112">
        <f t="shared" ca="1" si="85"/>
        <v>0.92792172094613523</v>
      </c>
      <c r="AP200" s="112">
        <f t="shared" ca="1" si="85"/>
        <v>0.92947857652667187</v>
      </c>
      <c r="AQ200" s="112">
        <f t="shared" ca="1" si="85"/>
        <v>0.93102780676942043</v>
      </c>
      <c r="AR200" s="112">
        <f t="shared" ca="1" si="85"/>
        <v>0.93256685374259451</v>
      </c>
      <c r="AS200" s="112">
        <f t="shared" ca="1" si="85"/>
        <v>0.9376970998809685</v>
      </c>
      <c r="AT200" s="112">
        <f t="shared" ca="1" si="85"/>
        <v>0.93895841512084299</v>
      </c>
    </row>
    <row r="201" spans="2:46" x14ac:dyDescent="0.35">
      <c r="B201" s="96" t="s">
        <v>174</v>
      </c>
      <c r="D201" s="112">
        <v>0.5</v>
      </c>
      <c r="E201" s="98" t="s">
        <v>173</v>
      </c>
      <c r="I201" s="112">
        <f t="shared" ref="I201:AT201" ca="1" si="86">IFERROR(I163/I154,0)</f>
        <v>-0.14285714285714285</v>
      </c>
      <c r="J201" s="112">
        <f t="shared" ca="1" si="86"/>
        <v>0.62145734503112626</v>
      </c>
      <c r="K201" s="112">
        <f t="shared" ca="1" si="86"/>
        <v>0.62455022960872442</v>
      </c>
      <c r="L201" s="112">
        <f t="shared" ca="1" si="86"/>
        <v>0.62830209201432907</v>
      </c>
      <c r="M201" s="112">
        <f t="shared" ca="1" si="86"/>
        <v>0.63268195159921048</v>
      </c>
      <c r="N201" s="112">
        <f t="shared" ca="1" si="86"/>
        <v>0.67765042148823273</v>
      </c>
      <c r="O201" s="112">
        <f t="shared" ca="1" si="86"/>
        <v>0.68116043426644146</v>
      </c>
      <c r="P201" s="112">
        <f t="shared" ca="1" si="86"/>
        <v>0.81307423755297725</v>
      </c>
      <c r="Q201" s="112">
        <f t="shared" ca="1" si="86"/>
        <v>0.82587113814865665</v>
      </c>
      <c r="R201" s="112">
        <f t="shared" ca="1" si="86"/>
        <v>0.82869510903925603</v>
      </c>
      <c r="S201" s="112">
        <f t="shared" ca="1" si="86"/>
        <v>0.8316853683106199</v>
      </c>
      <c r="T201" s="112">
        <f t="shared" ca="1" si="86"/>
        <v>0.83482343963942007</v>
      </c>
      <c r="U201" s="112">
        <f t="shared" ca="1" si="86"/>
        <v>0.85353341097203339</v>
      </c>
      <c r="V201" s="112">
        <f t="shared" ca="1" si="86"/>
        <v>0.85592862201514897</v>
      </c>
      <c r="W201" s="112">
        <f t="shared" ca="1" si="86"/>
        <v>0.85843538237703043</v>
      </c>
      <c r="X201" s="112">
        <f t="shared" ca="1" si="86"/>
        <v>0.86104071053245712</v>
      </c>
      <c r="Y201" s="112">
        <f t="shared" ca="1" si="86"/>
        <v>0.86373161001608822</v>
      </c>
      <c r="Z201" s="112">
        <f t="shared" ca="1" si="86"/>
        <v>0.87765806562860127</v>
      </c>
      <c r="AA201" s="112">
        <f t="shared" ca="1" si="86"/>
        <v>0.88003352549864</v>
      </c>
      <c r="AB201" s="112">
        <f t="shared" ca="1" si="86"/>
        <v>0.88245793375225767</v>
      </c>
      <c r="AC201" s="112">
        <f t="shared" ca="1" si="86"/>
        <v>0.88946109490579961</v>
      </c>
      <c r="AD201" s="112">
        <f t="shared" ca="1" si="86"/>
        <v>0.89176443366188374</v>
      </c>
      <c r="AE201" s="112">
        <f t="shared" ca="1" si="86"/>
        <v>0.89409177761202629</v>
      </c>
      <c r="AF201" s="112">
        <f t="shared" ca="1" si="86"/>
        <v>0.89643559607067402</v>
      </c>
      <c r="AG201" s="112">
        <f t="shared" ca="1" si="86"/>
        <v>0.90598287279365886</v>
      </c>
      <c r="AH201" s="112">
        <f t="shared" ca="1" si="86"/>
        <v>0.90784054877548648</v>
      </c>
      <c r="AI201" s="112">
        <f t="shared" ca="1" si="86"/>
        <v>0.90971542291866458</v>
      </c>
      <c r="AJ201" s="112">
        <f t="shared" ca="1" si="86"/>
        <v>0.91160223760721293</v>
      </c>
      <c r="AK201" s="112">
        <f t="shared" ca="1" si="86"/>
        <v>0.91349600223949134</v>
      </c>
      <c r="AL201" s="112">
        <f t="shared" ca="1" si="86"/>
        <v>0.92071313642618569</v>
      </c>
      <c r="AM201" s="112">
        <f t="shared" ca="1" si="86"/>
        <v>0.92237860255698323</v>
      </c>
      <c r="AN201" s="112">
        <f t="shared" ca="1" si="86"/>
        <v>0.92404323639263231</v>
      </c>
      <c r="AO201" s="112">
        <f t="shared" ca="1" si="86"/>
        <v>0.92792172094613523</v>
      </c>
      <c r="AP201" s="112">
        <f t="shared" ca="1" si="86"/>
        <v>0.92947857652667187</v>
      </c>
      <c r="AQ201" s="112">
        <f t="shared" ca="1" si="86"/>
        <v>0.93102780676942043</v>
      </c>
      <c r="AR201" s="112">
        <f t="shared" ca="1" si="86"/>
        <v>0.93256685374259451</v>
      </c>
      <c r="AS201" s="112">
        <f t="shared" ca="1" si="86"/>
        <v>0.9376970998809685</v>
      </c>
      <c r="AT201" s="112">
        <f t="shared" ca="1" si="86"/>
        <v>0.93895841512084299</v>
      </c>
    </row>
    <row r="202" spans="2:46" x14ac:dyDescent="0.35">
      <c r="B202" s="96" t="s">
        <v>175</v>
      </c>
      <c r="D202" s="112">
        <v>4</v>
      </c>
      <c r="E202" s="98" t="s">
        <v>176</v>
      </c>
      <c r="I202" s="112">
        <f t="shared" ref="I202:AT202" ca="1" si="87">IFERROR((I166+I168)/I163,0)</f>
        <v>-8</v>
      </c>
      <c r="J202" s="112">
        <f t="shared" ca="1" si="87"/>
        <v>0.60912089622162902</v>
      </c>
      <c r="K202" s="112">
        <f t="shared" ca="1" si="87"/>
        <v>0.60115224139216428</v>
      </c>
      <c r="L202" s="112">
        <f t="shared" ca="1" si="87"/>
        <v>0.59159107173113512</v>
      </c>
      <c r="M202" s="112">
        <f t="shared" ca="1" si="87"/>
        <v>0.58057298374377753</v>
      </c>
      <c r="N202" s="112">
        <f t="shared" ca="1" si="87"/>
        <v>0.47568712169297328</v>
      </c>
      <c r="O202" s="112">
        <f t="shared" ca="1" si="87"/>
        <v>0.46808292098898113</v>
      </c>
      <c r="P202" s="112">
        <f t="shared" ca="1" si="87"/>
        <v>0.22989999413779677</v>
      </c>
      <c r="Q202" s="112">
        <f t="shared" ca="1" si="87"/>
        <v>0.21084265305806138</v>
      </c>
      <c r="R202" s="112">
        <f t="shared" ca="1" si="87"/>
        <v>0.20671642573026142</v>
      </c>
      <c r="S202" s="112">
        <f t="shared" ca="1" si="87"/>
        <v>0.20237777181444613</v>
      </c>
      <c r="T202" s="112">
        <f t="shared" ca="1" si="87"/>
        <v>0.19785807695088628</v>
      </c>
      <c r="U202" s="112">
        <f t="shared" ca="1" si="87"/>
        <v>0.17160029958424844</v>
      </c>
      <c r="V202" s="112">
        <f t="shared" ca="1" si="87"/>
        <v>0.16832172015191821</v>
      </c>
      <c r="W202" s="112">
        <f t="shared" ca="1" si="87"/>
        <v>0.16491004509969409</v>
      </c>
      <c r="X202" s="112">
        <f t="shared" ca="1" si="87"/>
        <v>0.16138527222668922</v>
      </c>
      <c r="Y202" s="112">
        <f t="shared" ca="1" si="87"/>
        <v>0.15776705217651241</v>
      </c>
      <c r="Z202" s="112">
        <f t="shared" ca="1" si="87"/>
        <v>0.13939589820071205</v>
      </c>
      <c r="AA202" s="112">
        <f t="shared" ca="1" si="87"/>
        <v>0.13632034578840033</v>
      </c>
      <c r="AB202" s="112">
        <f t="shared" ca="1" si="87"/>
        <v>0.13319849224760966</v>
      </c>
      <c r="AC202" s="112">
        <f t="shared" ca="1" si="87"/>
        <v>0.12427626764935321</v>
      </c>
      <c r="AD202" s="112">
        <f t="shared" ca="1" si="87"/>
        <v>0.12137237397287093</v>
      </c>
      <c r="AE202" s="112">
        <f t="shared" ca="1" si="87"/>
        <v>0.11845341277026021</v>
      </c>
      <c r="AF202" s="112">
        <f t="shared" ca="1" si="87"/>
        <v>0.1155291070359957</v>
      </c>
      <c r="AG202" s="112">
        <f t="shared" ca="1" si="87"/>
        <v>0.10377362534065634</v>
      </c>
      <c r="AH202" s="112">
        <f t="shared" ca="1" si="87"/>
        <v>0.10151501973426938</v>
      </c>
      <c r="AI202" s="112">
        <f t="shared" ca="1" si="87"/>
        <v>9.9244857025368297E-2</v>
      </c>
      <c r="AJ202" s="112">
        <f t="shared" ca="1" si="87"/>
        <v>9.6969663682281687E-2</v>
      </c>
      <c r="AK202" s="112">
        <f t="shared" ca="1" si="87"/>
        <v>9.4695540591790653E-2</v>
      </c>
      <c r="AL202" s="112">
        <f t="shared" ca="1" si="87"/>
        <v>8.6114621847985975E-2</v>
      </c>
      <c r="AM202" s="112">
        <f t="shared" ca="1" si="87"/>
        <v>8.4153510530098105E-2</v>
      </c>
      <c r="AN202" s="112">
        <f t="shared" ca="1" si="87"/>
        <v>8.2200443243212865E-2</v>
      </c>
      <c r="AO202" s="112">
        <f t="shared" ca="1" si="87"/>
        <v>7.7677111578303634E-2</v>
      </c>
      <c r="AP202" s="112">
        <f t="shared" ca="1" si="87"/>
        <v>7.5872026805454781E-2</v>
      </c>
      <c r="AQ202" s="112">
        <f t="shared" ca="1" si="87"/>
        <v>7.4081775784878318E-2</v>
      </c>
      <c r="AR202" s="112">
        <f t="shared" ca="1" si="87"/>
        <v>7.2309181895948038E-2</v>
      </c>
      <c r="AS202" s="112">
        <f t="shared" ca="1" si="87"/>
        <v>6.6442457939712291E-2</v>
      </c>
      <c r="AT202" s="112">
        <f t="shared" ca="1" si="87"/>
        <v>6.5009891701435008E-2</v>
      </c>
    </row>
    <row r="204" spans="2:46" s="75" customFormat="1" x14ac:dyDescent="0.35">
      <c r="B204" s="75" t="s">
        <v>177</v>
      </c>
    </row>
    <row r="205" spans="2:46" x14ac:dyDescent="0.35">
      <c r="B205" s="96" t="s">
        <v>178</v>
      </c>
      <c r="D205" s="112">
        <v>2</v>
      </c>
      <c r="E205" s="98" t="s">
        <v>173</v>
      </c>
      <c r="I205" s="112">
        <f t="shared" ref="I205:AT205" ca="1" si="88">IFERROR(I157/I168,0)</f>
        <v>0.42499999999999999</v>
      </c>
      <c r="J205" s="112">
        <f t="shared" ca="1" si="88"/>
        <v>2.2292102191091954</v>
      </c>
      <c r="K205" s="112">
        <f t="shared" ca="1" si="88"/>
        <v>2.2884721309267242</v>
      </c>
      <c r="L205" s="112">
        <f t="shared" ca="1" si="88"/>
        <v>2.3528568153484191</v>
      </c>
      <c r="M205" s="112">
        <f t="shared" ca="1" si="88"/>
        <v>2.4224363310045551</v>
      </c>
      <c r="N205" s="112">
        <f t="shared" ca="1" si="88"/>
        <v>2.8397221422370937</v>
      </c>
      <c r="O205" s="112">
        <f t="shared" ca="1" si="88"/>
        <v>2.9113736106567751</v>
      </c>
      <c r="P205" s="112">
        <f t="shared" ca="1" si="88"/>
        <v>4.974717379290678</v>
      </c>
      <c r="Q205" s="112">
        <f t="shared" ca="1" si="88"/>
        <v>5.442873348897872</v>
      </c>
      <c r="R205" s="112">
        <f t="shared" ca="1" si="88"/>
        <v>5.6125449433557462</v>
      </c>
      <c r="S205" s="112">
        <f t="shared" ca="1" si="88"/>
        <v>5.7912541260552493</v>
      </c>
      <c r="T205" s="112">
        <f t="shared" ca="1" si="88"/>
        <v>5.9791277637517268</v>
      </c>
      <c r="U205" s="112">
        <f t="shared" ca="1" si="88"/>
        <v>6.8274956536951894</v>
      </c>
      <c r="V205" s="112">
        <f t="shared" ca="1" si="88"/>
        <v>5.2160039244932479</v>
      </c>
      <c r="W205" s="112">
        <f t="shared" ca="1" si="88"/>
        <v>5.4139119915070317</v>
      </c>
      <c r="X205" s="112">
        <f t="shared" ca="1" si="88"/>
        <v>5.6213522829725999</v>
      </c>
      <c r="Y205" s="112">
        <f t="shared" ca="1" si="88"/>
        <v>5.8384590521548434</v>
      </c>
      <c r="Z205" s="112">
        <f t="shared" ca="1" si="88"/>
        <v>6.7488122348487618</v>
      </c>
      <c r="AA205" s="112">
        <f t="shared" ca="1" si="88"/>
        <v>6.9856621435821786</v>
      </c>
      <c r="AB205" s="112">
        <f t="shared" ca="1" si="88"/>
        <v>7.2325924894183347</v>
      </c>
      <c r="AC205" s="112">
        <f t="shared" ca="1" si="88"/>
        <v>7.8465886119263821</v>
      </c>
      <c r="AD205" s="112">
        <f t="shared" ca="1" si="88"/>
        <v>8.1141071976850352</v>
      </c>
      <c r="AE205" s="112">
        <f t="shared" ca="1" si="88"/>
        <v>8.3921375172996964</v>
      </c>
      <c r="AF205" s="112">
        <f t="shared" ca="1" si="88"/>
        <v>8.680827311886242</v>
      </c>
      <c r="AG205" s="112">
        <f t="shared" ca="1" si="88"/>
        <v>9.7363598815914276</v>
      </c>
      <c r="AH205" s="112">
        <f t="shared" ca="1" si="88"/>
        <v>10.025759056321403</v>
      </c>
      <c r="AI205" s="112">
        <f t="shared" ca="1" si="88"/>
        <v>10.326088877274385</v>
      </c>
      <c r="AJ205" s="112">
        <f t="shared" ca="1" si="88"/>
        <v>10.637503540039816</v>
      </c>
      <c r="AK205" s="112">
        <f t="shared" ca="1" si="88"/>
        <v>10.960159367068364</v>
      </c>
      <c r="AL205" s="112">
        <f t="shared" ca="1" si="88"/>
        <v>12.087429788813941</v>
      </c>
      <c r="AM205" s="112">
        <f t="shared" ca="1" si="88"/>
        <v>12.433045564003457</v>
      </c>
      <c r="AN205" s="112">
        <f t="shared" ca="1" si="88"/>
        <v>12.79038452282091</v>
      </c>
      <c r="AO205" s="112">
        <f t="shared" ca="1" si="88"/>
        <v>13.573805161922564</v>
      </c>
      <c r="AP205" s="112">
        <f t="shared" ca="1" si="88"/>
        <v>13.955088131349433</v>
      </c>
      <c r="AQ205" s="112">
        <f t="shared" ca="1" si="88"/>
        <v>14.348596509131221</v>
      </c>
      <c r="AR205" s="112">
        <f t="shared" ca="1" si="88"/>
        <v>14.754502336770829</v>
      </c>
      <c r="AS205" s="112">
        <f t="shared" ca="1" si="88"/>
        <v>16.050617195820287</v>
      </c>
      <c r="AT205" s="112">
        <f t="shared" ca="1" si="88"/>
        <v>14.657274509740898</v>
      </c>
    </row>
    <row r="206" spans="2:46" x14ac:dyDescent="0.35">
      <c r="B206" s="96" t="s">
        <v>179</v>
      </c>
      <c r="D206" s="112">
        <v>1</v>
      </c>
      <c r="E206" s="98" t="s">
        <v>173</v>
      </c>
      <c r="I206" s="112">
        <f t="shared" ref="I206:AT206" ca="1" si="89">IFERROR((I157-I158)/I168,0)</f>
        <v>0.42499999999999999</v>
      </c>
      <c r="J206" s="112">
        <f t="shared" ca="1" si="89"/>
        <v>2.2292102191091954</v>
      </c>
      <c r="K206" s="112">
        <f t="shared" ca="1" si="89"/>
        <v>2.2884721309267242</v>
      </c>
      <c r="L206" s="112">
        <f t="shared" ca="1" si="89"/>
        <v>2.3528568153484191</v>
      </c>
      <c r="M206" s="112">
        <f t="shared" ca="1" si="89"/>
        <v>2.4224363310045551</v>
      </c>
      <c r="N206" s="112">
        <f t="shared" ca="1" si="89"/>
        <v>2.8397221422370937</v>
      </c>
      <c r="O206" s="112">
        <f t="shared" ca="1" si="89"/>
        <v>2.9113736106567751</v>
      </c>
      <c r="P206" s="112">
        <f t="shared" ca="1" si="89"/>
        <v>4.974717379290678</v>
      </c>
      <c r="Q206" s="112">
        <f t="shared" ca="1" si="89"/>
        <v>5.442873348897872</v>
      </c>
      <c r="R206" s="112">
        <f t="shared" ca="1" si="89"/>
        <v>5.6125449433557462</v>
      </c>
      <c r="S206" s="112">
        <f t="shared" ca="1" si="89"/>
        <v>5.7912541260552493</v>
      </c>
      <c r="T206" s="112">
        <f t="shared" ca="1" si="89"/>
        <v>5.9791277637517268</v>
      </c>
      <c r="U206" s="112">
        <f t="shared" ca="1" si="89"/>
        <v>6.8274956536951894</v>
      </c>
      <c r="V206" s="112">
        <f t="shared" ca="1" si="89"/>
        <v>5.2160039244932479</v>
      </c>
      <c r="W206" s="112">
        <f t="shared" ca="1" si="89"/>
        <v>5.4139119915070317</v>
      </c>
      <c r="X206" s="112">
        <f t="shared" ca="1" si="89"/>
        <v>5.6213522829725999</v>
      </c>
      <c r="Y206" s="112">
        <f t="shared" ca="1" si="89"/>
        <v>5.8384590521548434</v>
      </c>
      <c r="Z206" s="112">
        <f t="shared" ca="1" si="89"/>
        <v>6.7488122348487618</v>
      </c>
      <c r="AA206" s="112">
        <f t="shared" ca="1" si="89"/>
        <v>6.9856621435821786</v>
      </c>
      <c r="AB206" s="112">
        <f t="shared" ca="1" si="89"/>
        <v>7.2325924894183347</v>
      </c>
      <c r="AC206" s="112">
        <f t="shared" ca="1" si="89"/>
        <v>7.8465886119263821</v>
      </c>
      <c r="AD206" s="112">
        <f t="shared" ca="1" si="89"/>
        <v>8.1141071976850352</v>
      </c>
      <c r="AE206" s="112">
        <f t="shared" ca="1" si="89"/>
        <v>8.3921375172996964</v>
      </c>
      <c r="AF206" s="112">
        <f t="shared" ca="1" si="89"/>
        <v>8.680827311886242</v>
      </c>
      <c r="AG206" s="112">
        <f t="shared" ca="1" si="89"/>
        <v>9.7363598815914276</v>
      </c>
      <c r="AH206" s="112">
        <f t="shared" ca="1" si="89"/>
        <v>10.025759056321403</v>
      </c>
      <c r="AI206" s="112">
        <f t="shared" ca="1" si="89"/>
        <v>10.326088877274385</v>
      </c>
      <c r="AJ206" s="112">
        <f t="shared" ca="1" si="89"/>
        <v>10.637503540039816</v>
      </c>
      <c r="AK206" s="112">
        <f t="shared" ca="1" si="89"/>
        <v>10.960159367068364</v>
      </c>
      <c r="AL206" s="112">
        <f t="shared" ca="1" si="89"/>
        <v>12.087429788813941</v>
      </c>
      <c r="AM206" s="112">
        <f t="shared" ca="1" si="89"/>
        <v>12.433045564003457</v>
      </c>
      <c r="AN206" s="112">
        <f t="shared" ca="1" si="89"/>
        <v>12.79038452282091</v>
      </c>
      <c r="AO206" s="112">
        <f t="shared" ca="1" si="89"/>
        <v>13.573805161922564</v>
      </c>
      <c r="AP206" s="112">
        <f t="shared" ca="1" si="89"/>
        <v>13.955088131349433</v>
      </c>
      <c r="AQ206" s="112">
        <f t="shared" ca="1" si="89"/>
        <v>14.348596509131221</v>
      </c>
      <c r="AR206" s="112">
        <f t="shared" ca="1" si="89"/>
        <v>14.754502336770829</v>
      </c>
      <c r="AS206" s="112">
        <f t="shared" ca="1" si="89"/>
        <v>16.050617195820287</v>
      </c>
      <c r="AT206" s="112">
        <f t="shared" ca="1" si="89"/>
        <v>14.657274509740898</v>
      </c>
    </row>
    <row r="207" spans="2:46" x14ac:dyDescent="0.35">
      <c r="B207" s="96" t="s">
        <v>180</v>
      </c>
      <c r="D207" s="112">
        <v>0.1</v>
      </c>
      <c r="E207" s="98" t="s">
        <v>173</v>
      </c>
      <c r="I207" s="112">
        <f t="shared" ref="I207:AT207" ca="1" si="90">IFERROR((I163-I155)/I157,0)</f>
        <v>-1.3529411764705883</v>
      </c>
      <c r="J207" s="112">
        <f t="shared" ca="1" si="90"/>
        <v>0.5514106334935045</v>
      </c>
      <c r="K207" s="112">
        <f t="shared" ca="1" si="90"/>
        <v>0.56302723267377219</v>
      </c>
      <c r="L207" s="112">
        <f t="shared" ca="1" si="90"/>
        <v>0.57498476172596336</v>
      </c>
      <c r="M207" s="112">
        <f t="shared" ca="1" si="90"/>
        <v>0.58719245282070598</v>
      </c>
      <c r="N207" s="112">
        <f t="shared" ca="1" si="90"/>
        <v>0.64785287084030951</v>
      </c>
      <c r="O207" s="112">
        <f t="shared" ca="1" si="90"/>
        <v>0.6565195218024904</v>
      </c>
      <c r="P207" s="112">
        <f t="shared" ca="1" si="90"/>
        <v>0.7989835554954513</v>
      </c>
      <c r="Q207" s="112">
        <f t="shared" ca="1" si="90"/>
        <v>0.81627351292263872</v>
      </c>
      <c r="R207" s="112">
        <f t="shared" ca="1" si="90"/>
        <v>0.82182770737830435</v>
      </c>
      <c r="S207" s="112">
        <f t="shared" ca="1" si="90"/>
        <v>0.82732582990946124</v>
      </c>
      <c r="T207" s="112">
        <f t="shared" ca="1" si="90"/>
        <v>0.83275152505312422</v>
      </c>
      <c r="U207" s="112">
        <f t="shared" ca="1" si="90"/>
        <v>0.85353341097203339</v>
      </c>
      <c r="V207" s="112">
        <f t="shared" ca="1" si="90"/>
        <v>0.80828235283639005</v>
      </c>
      <c r="W207" s="112">
        <f t="shared" ca="1" si="90"/>
        <v>0.81529068046013076</v>
      </c>
      <c r="X207" s="112">
        <f t="shared" ca="1" si="90"/>
        <v>0.82210686154129498</v>
      </c>
      <c r="Y207" s="112">
        <f t="shared" ca="1" si="90"/>
        <v>0.8287219296963424</v>
      </c>
      <c r="Z207" s="112">
        <f t="shared" ca="1" si="90"/>
        <v>0.85182577834417805</v>
      </c>
      <c r="AA207" s="112">
        <f t="shared" ca="1" si="90"/>
        <v>0.85684964725660018</v>
      </c>
      <c r="AB207" s="112">
        <f t="shared" ca="1" si="90"/>
        <v>0.86173699106329338</v>
      </c>
      <c r="AC207" s="112">
        <f t="shared" ca="1" si="90"/>
        <v>0.87255608144409924</v>
      </c>
      <c r="AD207" s="112">
        <f t="shared" ca="1" si="90"/>
        <v>0.87675785201786505</v>
      </c>
      <c r="AE207" s="112">
        <f t="shared" ca="1" si="90"/>
        <v>0.8808408468118416</v>
      </c>
      <c r="AF207" s="112">
        <f t="shared" ca="1" si="90"/>
        <v>0.8848036063762319</v>
      </c>
      <c r="AG207" s="112">
        <f t="shared" ca="1" si="90"/>
        <v>0.89729221062476261</v>
      </c>
      <c r="AH207" s="112">
        <f t="shared" ca="1" si="90"/>
        <v>0.90025692873902796</v>
      </c>
      <c r="AI207" s="112">
        <f t="shared" ca="1" si="90"/>
        <v>0.90315791275041246</v>
      </c>
      <c r="AJ207" s="112">
        <f t="shared" ca="1" si="90"/>
        <v>0.90599298075568402</v>
      </c>
      <c r="AK207" s="112">
        <f t="shared" ca="1" si="90"/>
        <v>0.90876045078279866</v>
      </c>
      <c r="AL207" s="112">
        <f t="shared" ca="1" si="90"/>
        <v>0.91726942638165876</v>
      </c>
      <c r="AM207" s="112">
        <f t="shared" ca="1" si="90"/>
        <v>0.9195691840062713</v>
      </c>
      <c r="AN207" s="112">
        <f t="shared" ca="1" si="90"/>
        <v>0.92181626766452718</v>
      </c>
      <c r="AO207" s="112">
        <f t="shared" ca="1" si="90"/>
        <v>0.92632869058668832</v>
      </c>
      <c r="AP207" s="112">
        <f t="shared" ca="1" si="90"/>
        <v>0.92834154893271115</v>
      </c>
      <c r="AQ207" s="112">
        <f t="shared" ca="1" si="90"/>
        <v>0.9303067725569103</v>
      </c>
      <c r="AR207" s="112">
        <f t="shared" ca="1" si="90"/>
        <v>0.93222407796786022</v>
      </c>
      <c r="AS207" s="112">
        <f t="shared" ca="1" si="90"/>
        <v>0.9376970998809685</v>
      </c>
      <c r="AT207" s="112">
        <f t="shared" ca="1" si="90"/>
        <v>0.93177449195377882</v>
      </c>
    </row>
    <row r="209" spans="2:46" s="75" customFormat="1" x14ac:dyDescent="0.35">
      <c r="B209" s="75" t="s">
        <v>181</v>
      </c>
    </row>
    <row r="210" spans="2:46" x14ac:dyDescent="0.35">
      <c r="B210" s="96" t="s">
        <v>182</v>
      </c>
      <c r="I210" s="99">
        <f t="shared" ref="I210:AT210" si="91">IFERROR(I25/I18,0)</f>
        <v>0</v>
      </c>
      <c r="J210" s="99">
        <f t="shared" ca="1" si="91"/>
        <v>0.6669250000000001</v>
      </c>
      <c r="K210" s="99">
        <f t="shared" ca="1" si="91"/>
        <v>0.66792123629112665</v>
      </c>
      <c r="L210" s="99">
        <f t="shared" ca="1" si="91"/>
        <v>0.66891449281268855</v>
      </c>
      <c r="M210" s="99">
        <f t="shared" ca="1" si="91"/>
        <v>0.66990477847725682</v>
      </c>
      <c r="N210" s="99">
        <f t="shared" ca="1" si="91"/>
        <v>0.67089210217074458</v>
      </c>
      <c r="O210" s="99">
        <f t="shared" ca="1" si="91"/>
        <v>0.67187647275248708</v>
      </c>
      <c r="P210" s="99">
        <f t="shared" ca="1" si="91"/>
        <v>0.67285789905532112</v>
      </c>
      <c r="Q210" s="99">
        <f t="shared" ca="1" si="91"/>
        <v>0.6738363898856643</v>
      </c>
      <c r="R210" s="99">
        <f t="shared" ca="1" si="91"/>
        <v>0.67481195402359362</v>
      </c>
      <c r="S210" s="99">
        <f t="shared" ca="1" si="91"/>
        <v>0.67578460022292453</v>
      </c>
      <c r="T210" s="99">
        <f t="shared" ca="1" si="91"/>
        <v>0.67675433721129075</v>
      </c>
      <c r="U210" s="99">
        <f t="shared" ca="1" si="91"/>
        <v>0.67772117369022022</v>
      </c>
      <c r="V210" s="99">
        <f t="shared" ca="1" si="91"/>
        <v>0.66267725578886605</v>
      </c>
      <c r="W210" s="99">
        <f t="shared" ca="1" si="91"/>
        <v>0.66368619719727429</v>
      </c>
      <c r="X210" s="99">
        <f t="shared" ca="1" si="91"/>
        <v>0.66469212083476992</v>
      </c>
      <c r="Y210" s="99">
        <f t="shared" ca="1" si="91"/>
        <v>0.66569503572758715</v>
      </c>
      <c r="Z210" s="99">
        <f t="shared" ca="1" si="91"/>
        <v>0.66669495087496233</v>
      </c>
      <c r="AA210" s="99">
        <f t="shared" ca="1" si="91"/>
        <v>0.66769187524921481</v>
      </c>
      <c r="AB210" s="99">
        <f t="shared" ca="1" si="91"/>
        <v>0.66868581779582714</v>
      </c>
      <c r="AC210" s="99">
        <f t="shared" ca="1" si="91"/>
        <v>0.66967678743352643</v>
      </c>
      <c r="AD210" s="99">
        <f t="shared" ca="1" si="91"/>
        <v>0.67066479305436344</v>
      </c>
      <c r="AE210" s="99">
        <f t="shared" ca="1" si="91"/>
        <v>0.67164984352379198</v>
      </c>
      <c r="AF210" s="99">
        <f t="shared" ca="1" si="91"/>
        <v>0.67263194768074974</v>
      </c>
      <c r="AG210" s="99">
        <f t="shared" ca="1" si="91"/>
        <v>0.67361111433773646</v>
      </c>
      <c r="AH210" s="99">
        <f t="shared" ca="1" si="91"/>
        <v>0.65837255776681924</v>
      </c>
      <c r="AI210" s="99">
        <f t="shared" ca="1" si="91"/>
        <v>0.65939437464289052</v>
      </c>
      <c r="AJ210" s="99">
        <f t="shared" ca="1" si="91"/>
        <v>0.66041313523717893</v>
      </c>
      <c r="AK210" s="99">
        <f t="shared" ca="1" si="91"/>
        <v>0.66142884869110552</v>
      </c>
      <c r="AL210" s="99">
        <f t="shared" ca="1" si="91"/>
        <v>0.66244152411874935</v>
      </c>
      <c r="AM210" s="99">
        <f t="shared" ca="1" si="91"/>
        <v>0.6634511706069286</v>
      </c>
      <c r="AN210" s="99">
        <f t="shared" ca="1" si="91"/>
        <v>0.66445779721528275</v>
      </c>
      <c r="AO210" s="99">
        <f t="shared" ca="1" si="91"/>
        <v>0.66546141297635386</v>
      </c>
      <c r="AP210" s="99">
        <f t="shared" ca="1" si="91"/>
        <v>0.66646202689566669</v>
      </c>
      <c r="AQ210" s="99">
        <f t="shared" ca="1" si="91"/>
        <v>0.66745964795181134</v>
      </c>
      <c r="AR210" s="99">
        <f t="shared" ca="1" si="91"/>
        <v>0.66845428509652172</v>
      </c>
      <c r="AS210" s="99">
        <f t="shared" ca="1" si="91"/>
        <v>0.66944594725475748</v>
      </c>
      <c r="AT210" s="99">
        <f t="shared" ca="1" si="91"/>
        <v>0.65401024185504153</v>
      </c>
    </row>
    <row r="211" spans="2:46" x14ac:dyDescent="0.35">
      <c r="B211" s="96" t="s">
        <v>183</v>
      </c>
      <c r="I211" s="99">
        <f t="shared" ref="I211:AT211" si="92">IFERROR(I32/I18,0)</f>
        <v>0</v>
      </c>
      <c r="J211" s="99">
        <f t="shared" ca="1" si="92"/>
        <v>3.208362068965534E-2</v>
      </c>
      <c r="K211" s="99">
        <f t="shared" ca="1" si="92"/>
        <v>4.1245442572929829E-2</v>
      </c>
      <c r="L211" s="99">
        <f t="shared" ca="1" si="92"/>
        <v>5.0299255634918369E-2</v>
      </c>
      <c r="M211" s="99">
        <f t="shared" ca="1" si="92"/>
        <v>5.9246419714169447E-2</v>
      </c>
      <c r="N211" s="99">
        <f t="shared" ca="1" si="92"/>
        <v>0.36949018970858299</v>
      </c>
      <c r="O211" s="99">
        <f t="shared" ca="1" si="92"/>
        <v>7.6826153488177534E-2</v>
      </c>
      <c r="P211" s="99">
        <f t="shared" ca="1" si="92"/>
        <v>8.5461356737414035E-2</v>
      </c>
      <c r="Q211" s="99">
        <f t="shared" ca="1" si="92"/>
        <v>0.28727558232951622</v>
      </c>
      <c r="R211" s="99">
        <f t="shared" ca="1" si="92"/>
        <v>0.10242889396197441</v>
      </c>
      <c r="S211" s="99">
        <f t="shared" ca="1" si="92"/>
        <v>0.11076376168742293</v>
      </c>
      <c r="T211" s="99">
        <f t="shared" ca="1" si="92"/>
        <v>0.11900102434246983</v>
      </c>
      <c r="U211" s="99">
        <f t="shared" ca="1" si="92"/>
        <v>0.40243154116757984</v>
      </c>
      <c r="V211" s="99">
        <f t="shared" ca="1" si="92"/>
        <v>0.11661141682012165</v>
      </c>
      <c r="W211" s="99">
        <f t="shared" ca="1" si="92"/>
        <v>0.12464407705399673</v>
      </c>
      <c r="X211" s="99">
        <f t="shared" ca="1" si="92"/>
        <v>0.13258337761563768</v>
      </c>
      <c r="Y211" s="99">
        <f t="shared" ca="1" si="92"/>
        <v>0.14043048954521126</v>
      </c>
      <c r="Z211" s="99">
        <f t="shared" ca="1" si="92"/>
        <v>0.40744075989227879</v>
      </c>
      <c r="AA211" s="99">
        <f t="shared" ca="1" si="92"/>
        <v>0.15585275699470405</v>
      </c>
      <c r="AB211" s="99">
        <f t="shared" ca="1" si="92"/>
        <v>0.16343018049534161</v>
      </c>
      <c r="AC211" s="99">
        <f t="shared" ca="1" si="92"/>
        <v>0.33717223027958526</v>
      </c>
      <c r="AD211" s="99">
        <f t="shared" ca="1" si="92"/>
        <v>0.17832316868893319</v>
      </c>
      <c r="AE211" s="99">
        <f t="shared" ca="1" si="92"/>
        <v>0.18564091549063372</v>
      </c>
      <c r="AF211" s="99">
        <f t="shared" ca="1" si="92"/>
        <v>0.19287426228825577</v>
      </c>
      <c r="AG211" s="99">
        <f t="shared" ca="1" si="92"/>
        <v>0.43681768996111686</v>
      </c>
      <c r="AH211" s="99">
        <f t="shared" ca="1" si="92"/>
        <v>0.18856843299847981</v>
      </c>
      <c r="AI211" s="99">
        <f t="shared" ca="1" si="92"/>
        <v>0.19563305980686443</v>
      </c>
      <c r="AJ211" s="99">
        <f t="shared" ca="1" si="92"/>
        <v>0.20261690527752702</v>
      </c>
      <c r="AK211" s="99">
        <f t="shared" ca="1" si="92"/>
        <v>0.20952097828287292</v>
      </c>
      <c r="AL211" s="99">
        <f t="shared" ca="1" si="92"/>
        <v>0.43939389946388591</v>
      </c>
      <c r="AM211" s="99">
        <f t="shared" ca="1" si="92"/>
        <v>0.22309377812128969</v>
      </c>
      <c r="AN211" s="99">
        <f t="shared" ca="1" si="92"/>
        <v>0.22976445892753322</v>
      </c>
      <c r="AO211" s="99">
        <f t="shared" ca="1" si="92"/>
        <v>0.3793933213517231</v>
      </c>
      <c r="AP211" s="99">
        <f t="shared" ca="1" si="92"/>
        <v>0.24287917403154016</v>
      </c>
      <c r="AQ211" s="99">
        <f t="shared" ca="1" si="92"/>
        <v>0.24932508839866241</v>
      </c>
      <c r="AR211" s="99">
        <f t="shared" ca="1" si="92"/>
        <v>0.25569794071071966</v>
      </c>
      <c r="AS211" s="99">
        <f t="shared" ca="1" si="92"/>
        <v>0.46572229426037337</v>
      </c>
      <c r="AT211" s="99">
        <f t="shared" ca="1" si="92"/>
        <v>0.24972831118753078</v>
      </c>
    </row>
    <row r="212" spans="2:46" x14ac:dyDescent="0.35">
      <c r="B212" s="96" t="s">
        <v>184</v>
      </c>
      <c r="I212" s="99">
        <f t="shared" ref="I212:AT212" si="93">IFERROR(I34/I18,0)</f>
        <v>0</v>
      </c>
      <c r="J212" s="99">
        <f t="shared" ca="1" si="93"/>
        <v>3.208362068965534E-2</v>
      </c>
      <c r="K212" s="99">
        <f t="shared" ca="1" si="93"/>
        <v>4.1245442572929829E-2</v>
      </c>
      <c r="L212" s="99">
        <f t="shared" ca="1" si="93"/>
        <v>5.0299255634918369E-2</v>
      </c>
      <c r="M212" s="99">
        <f t="shared" ca="1" si="93"/>
        <v>5.9246419714169447E-2</v>
      </c>
      <c r="N212" s="99">
        <f t="shared" ca="1" si="93"/>
        <v>0.34619496025164265</v>
      </c>
      <c r="O212" s="99">
        <f t="shared" ca="1" si="93"/>
        <v>6.1460922790542029E-2</v>
      </c>
      <c r="P212" s="99">
        <f t="shared" ca="1" si="93"/>
        <v>6.8369085389931222E-2</v>
      </c>
      <c r="Q212" s="99">
        <f t="shared" ca="1" si="93"/>
        <v>0.22982046586361299</v>
      </c>
      <c r="R212" s="99">
        <f t="shared" ca="1" si="93"/>
        <v>8.1943115169579528E-2</v>
      </c>
      <c r="S212" s="99">
        <f t="shared" ca="1" si="93"/>
        <v>8.8611009349938347E-2</v>
      </c>
      <c r="T212" s="99">
        <f t="shared" ca="1" si="93"/>
        <v>9.5200819473975865E-2</v>
      </c>
      <c r="U212" s="99">
        <f t="shared" ca="1" si="93"/>
        <v>0.32194523293406391</v>
      </c>
      <c r="V212" s="99">
        <f t="shared" ca="1" si="93"/>
        <v>9.3289133456097323E-2</v>
      </c>
      <c r="W212" s="99">
        <f t="shared" ca="1" si="93"/>
        <v>9.9715261643197384E-2</v>
      </c>
      <c r="X212" s="99">
        <f t="shared" ca="1" si="93"/>
        <v>0.10606670209251015</v>
      </c>
      <c r="Y212" s="99">
        <f t="shared" ca="1" si="93"/>
        <v>0.11234439163616901</v>
      </c>
      <c r="Z212" s="99">
        <f t="shared" ca="1" si="93"/>
        <v>0.32595260791382302</v>
      </c>
      <c r="AA212" s="99">
        <f t="shared" ca="1" si="93"/>
        <v>0.12468220559576326</v>
      </c>
      <c r="AB212" s="99">
        <f t="shared" ca="1" si="93"/>
        <v>0.13074414439627327</v>
      </c>
      <c r="AC212" s="99">
        <f t="shared" ca="1" si="93"/>
        <v>0.26973778422366823</v>
      </c>
      <c r="AD212" s="99">
        <f t="shared" ca="1" si="93"/>
        <v>0.14265853495114655</v>
      </c>
      <c r="AE212" s="99">
        <f t="shared" ca="1" si="93"/>
        <v>0.14851273239250698</v>
      </c>
      <c r="AF212" s="99">
        <f t="shared" ca="1" si="93"/>
        <v>0.15429940983060464</v>
      </c>
      <c r="AG212" s="99">
        <f t="shared" ca="1" si="93"/>
        <v>0.34945415196889351</v>
      </c>
      <c r="AH212" s="99">
        <f t="shared" ca="1" si="93"/>
        <v>0.15085474639878385</v>
      </c>
      <c r="AI212" s="99">
        <f t="shared" ca="1" si="93"/>
        <v>0.15650644784549156</v>
      </c>
      <c r="AJ212" s="99">
        <f t="shared" ca="1" si="93"/>
        <v>0.16209352422202161</v>
      </c>
      <c r="AK212" s="99">
        <f t="shared" ca="1" si="93"/>
        <v>0.16761678262629834</v>
      </c>
      <c r="AL212" s="99">
        <f t="shared" ca="1" si="93"/>
        <v>0.3515151195711087</v>
      </c>
      <c r="AM212" s="99">
        <f t="shared" ca="1" si="93"/>
        <v>0.17847502249703176</v>
      </c>
      <c r="AN212" s="99">
        <f t="shared" ca="1" si="93"/>
        <v>0.18381156714202657</v>
      </c>
      <c r="AO212" s="99">
        <f t="shared" ca="1" si="93"/>
        <v>0.30351465708137848</v>
      </c>
      <c r="AP212" s="99">
        <f t="shared" ca="1" si="93"/>
        <v>0.19430333922523216</v>
      </c>
      <c r="AQ212" s="99">
        <f t="shared" ca="1" si="93"/>
        <v>0.19946007071892993</v>
      </c>
      <c r="AR212" s="99">
        <f t="shared" ca="1" si="93"/>
        <v>0.20455835256857571</v>
      </c>
      <c r="AS212" s="99">
        <f t="shared" ca="1" si="93"/>
        <v>0.3725778354082987</v>
      </c>
      <c r="AT212" s="99">
        <f t="shared" ca="1" si="93"/>
        <v>0.19978264895002465</v>
      </c>
    </row>
  </sheetData>
  <conditionalFormatting sqref="I200:AT200">
    <cfRule type="expression" dxfId="11" priority="1">
      <formula>I200&gt;=$D$200</formula>
    </cfRule>
    <cfRule type="expression" dxfId="10" priority="2">
      <formula>I200&lt;$D$200</formula>
    </cfRule>
  </conditionalFormatting>
  <conditionalFormatting sqref="I201:AT201">
    <cfRule type="expression" dxfId="9" priority="3">
      <formula>I201&gt;=$D$201</formula>
    </cfRule>
    <cfRule type="expression" dxfId="8" priority="4">
      <formula>I201&lt;$D$201</formula>
    </cfRule>
  </conditionalFormatting>
  <conditionalFormatting sqref="I202:AT202">
    <cfRule type="expression" dxfId="7" priority="5">
      <formula>I202&lt;=$D$202</formula>
    </cfRule>
    <cfRule type="expression" dxfId="6" priority="6">
      <formula>I202&gt;$D$202</formula>
    </cfRule>
  </conditionalFormatting>
  <conditionalFormatting sqref="I205:AT205">
    <cfRule type="expression" dxfId="5" priority="7">
      <formula>I205&gt;=$D$205</formula>
    </cfRule>
    <cfRule type="expression" dxfId="4" priority="8">
      <formula>I205&lt;$D$205</formula>
    </cfRule>
  </conditionalFormatting>
  <conditionalFormatting sqref="I206:AT206">
    <cfRule type="expression" dxfId="3" priority="9">
      <formula>I206&gt;=$D$206</formula>
    </cfRule>
    <cfRule type="expression" dxfId="2" priority="10">
      <formula>I206&lt;$D$206</formula>
    </cfRule>
  </conditionalFormatting>
  <conditionalFormatting sqref="I207:AT207">
    <cfRule type="expression" dxfId="1" priority="11">
      <formula>I207&gt;=$D$207</formula>
    </cfRule>
    <cfRule type="expression" dxfId="0" priority="12">
      <formula>I207&lt;$D$207</formula>
    </cfRule>
  </conditionalFormatting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89"/>
  <sheetViews>
    <sheetView topLeftCell="A40" workbookViewId="0">
      <selection activeCell="T36" sqref="T36"/>
    </sheetView>
  </sheetViews>
  <sheetFormatPr defaultRowHeight="14.5" x14ac:dyDescent="0.35"/>
  <cols>
    <col min="2" max="2" width="54.1796875" style="86" bestFit="1" customWidth="1"/>
    <col min="6" max="6" width="10" style="86" bestFit="1" customWidth="1"/>
  </cols>
  <sheetData>
    <row r="2" spans="2:16" ht="21" customHeight="1" x14ac:dyDescent="0.5">
      <c r="B2" s="87" t="s">
        <v>185</v>
      </c>
    </row>
    <row r="3" spans="2:16" x14ac:dyDescent="0.35">
      <c r="B3" s="55" t="s">
        <v>186</v>
      </c>
      <c r="C3" s="55" t="s">
        <v>187</v>
      </c>
      <c r="D3" s="55">
        <v>2026</v>
      </c>
      <c r="E3" s="55">
        <v>2027</v>
      </c>
      <c r="F3" s="55">
        <v>2028</v>
      </c>
      <c r="H3" s="89"/>
      <c r="I3" s="89"/>
      <c r="J3" s="89"/>
      <c r="K3" s="89"/>
      <c r="L3" s="89"/>
      <c r="M3" s="89"/>
      <c r="N3" s="89"/>
      <c r="O3" s="89"/>
      <c r="P3" s="88"/>
    </row>
    <row r="4" spans="2:16" x14ac:dyDescent="0.35">
      <c r="B4" s="84" t="s">
        <v>188</v>
      </c>
      <c r="C4" s="84" t="s">
        <v>42</v>
      </c>
      <c r="D4" s="53">
        <f ca="1">'Объемы и ОПУ по годам'!C3</f>
        <v>768.74215229578965</v>
      </c>
      <c r="E4" s="53">
        <f ca="1">'Объемы и ОПУ по годам'!D3</f>
        <v>866.23789892441846</v>
      </c>
      <c r="F4" s="53">
        <f ca="1">'Объемы и ОПУ по годам'!E3</f>
        <v>976.09854655696211</v>
      </c>
      <c r="G4" s="78"/>
      <c r="H4" s="78"/>
      <c r="I4" s="78"/>
      <c r="J4" s="78"/>
      <c r="K4" s="78"/>
      <c r="L4" s="78"/>
      <c r="M4" s="78"/>
      <c r="N4" s="78"/>
      <c r="O4" s="78"/>
      <c r="P4" s="78"/>
    </row>
    <row r="5" spans="2:16" x14ac:dyDescent="0.35">
      <c r="B5" s="84"/>
      <c r="C5" s="84"/>
      <c r="D5" s="84"/>
      <c r="E5" s="84"/>
      <c r="F5" s="84"/>
      <c r="H5" s="30"/>
      <c r="I5" s="30"/>
      <c r="J5" s="30"/>
      <c r="K5" s="30"/>
      <c r="L5" s="30"/>
      <c r="M5" s="30"/>
      <c r="N5" s="30"/>
      <c r="O5" s="30"/>
      <c r="P5" s="78"/>
    </row>
    <row r="6" spans="2:16" x14ac:dyDescent="0.35">
      <c r="B6" s="84" t="s">
        <v>189</v>
      </c>
      <c r="C6" s="84" t="s">
        <v>14</v>
      </c>
      <c r="D6" s="54">
        <f ca="1">'Объемы и ОПУ по годам'!C5</f>
        <v>101.80310222961667</v>
      </c>
      <c r="E6" s="54">
        <f ca="1">'Объемы и ОПУ по годам'!D5</f>
        <v>105.52909376449128</v>
      </c>
      <c r="F6" s="54">
        <f ca="1">'Объемы и ОПУ по годам'!E5</f>
        <v>109.39145651609604</v>
      </c>
      <c r="H6" s="30"/>
      <c r="I6" s="30"/>
      <c r="J6" s="30"/>
      <c r="K6" s="30"/>
      <c r="L6" s="30"/>
      <c r="M6" s="30"/>
      <c r="N6" s="30"/>
      <c r="O6" s="30"/>
      <c r="P6" s="30"/>
    </row>
    <row r="7" spans="2:16" x14ac:dyDescent="0.35">
      <c r="B7" s="84"/>
      <c r="C7" s="84"/>
      <c r="D7" s="84"/>
      <c r="E7" s="84"/>
      <c r="F7" s="84"/>
      <c r="H7" s="30"/>
      <c r="I7" s="30"/>
      <c r="J7" s="30"/>
      <c r="K7" s="30"/>
      <c r="L7" s="30"/>
      <c r="M7" s="30"/>
      <c r="N7" s="30"/>
      <c r="O7" s="30"/>
      <c r="P7" s="78"/>
    </row>
    <row r="8" spans="2:16" x14ac:dyDescent="0.35">
      <c r="B8" s="84" t="s">
        <v>190</v>
      </c>
      <c r="C8" s="84" t="s">
        <v>14</v>
      </c>
      <c r="D8" s="54">
        <f ca="1">'Объемы и ОПУ по годам'!C7</f>
        <v>78260.335918383818</v>
      </c>
      <c r="E8" s="54">
        <f ca="1">'Объемы и ОПУ по годам'!D7</f>
        <v>91413.300457950871</v>
      </c>
      <c r="F8" s="54">
        <f ca="1">'Объемы и ОПУ по годам'!E7</f>
        <v>106776.84171111046</v>
      </c>
      <c r="H8" s="30"/>
      <c r="I8" s="30"/>
      <c r="J8" s="30"/>
      <c r="K8" s="30"/>
      <c r="L8" s="30"/>
      <c r="M8" s="30"/>
      <c r="N8" s="30"/>
      <c r="O8" s="30"/>
      <c r="P8" s="30"/>
    </row>
    <row r="10" spans="2:16" ht="21" customHeight="1" x14ac:dyDescent="0.5">
      <c r="B10" s="87" t="s">
        <v>82</v>
      </c>
      <c r="F10" s="91" t="s">
        <v>14</v>
      </c>
    </row>
    <row r="11" spans="2:16" x14ac:dyDescent="0.35">
      <c r="B11" s="55" t="s">
        <v>186</v>
      </c>
      <c r="C11" s="55"/>
      <c r="D11" s="55">
        <v>2026</v>
      </c>
      <c r="E11" s="55">
        <v>2027</v>
      </c>
      <c r="F11" s="55">
        <v>2028</v>
      </c>
    </row>
    <row r="12" spans="2:16" x14ac:dyDescent="0.35">
      <c r="B12" s="84" t="s">
        <v>83</v>
      </c>
      <c r="C12" s="84"/>
      <c r="D12" s="58">
        <f ca="1">'Объемы и ОПУ по годам'!C11</f>
        <v>3260.8473299326597</v>
      </c>
      <c r="E12" s="58">
        <f ca="1">'Объемы и ОПУ по годам'!D11</f>
        <v>3808.887519081286</v>
      </c>
      <c r="F12" s="58">
        <f ca="1">'Объемы и ОПУ по годам'!E11</f>
        <v>4449.0350712962681</v>
      </c>
    </row>
    <row r="13" spans="2:16" x14ac:dyDescent="0.35">
      <c r="B13" s="82" t="s">
        <v>24</v>
      </c>
      <c r="C13" s="84"/>
      <c r="D13" s="58">
        <f ca="1">'Объемы и ОПУ по годам'!C12</f>
        <v>-1066.8699682330007</v>
      </c>
      <c r="E13" s="58">
        <f ca="1">'Объемы и ОПУ по годам'!D12</f>
        <v>-1262.0680138313655</v>
      </c>
      <c r="F13" s="58">
        <f ca="1">'Объемы и ОПУ по годам'!E12</f>
        <v>-1492.9922944631905</v>
      </c>
    </row>
    <row r="14" spans="2:16" x14ac:dyDescent="0.35">
      <c r="B14" s="59" t="s">
        <v>96</v>
      </c>
      <c r="C14" s="84"/>
      <c r="D14" s="54">
        <f ca="1">'Объемы и ОПУ по годам'!C13</f>
        <v>-600.5798064810856</v>
      </c>
      <c r="E14" s="54">
        <f ca="1">'Объемы и ОПУ по годам'!D13</f>
        <v>-710.58577646143681</v>
      </c>
      <c r="F14" s="54">
        <f ca="1">'Объемы и ОПУ по годам'!E13</f>
        <v>-840.74113092113316</v>
      </c>
    </row>
    <row r="15" spans="2:16" x14ac:dyDescent="0.35">
      <c r="B15" s="59" t="s">
        <v>98</v>
      </c>
      <c r="C15" s="84"/>
      <c r="D15" s="54">
        <f ca="1">'Объемы и ОПУ по годам'!C14</f>
        <v>-384.37107614789477</v>
      </c>
      <c r="E15" s="54">
        <f ca="1">'Объемы и ОПУ по годам'!D14</f>
        <v>-454.7748969353197</v>
      </c>
      <c r="F15" s="54">
        <f ca="1">'Объемы и ОПУ по годам'!E14</f>
        <v>-538.07432378952535</v>
      </c>
    </row>
    <row r="16" spans="2:16" x14ac:dyDescent="0.35">
      <c r="B16" s="59" t="s">
        <v>103</v>
      </c>
      <c r="C16" s="84"/>
      <c r="D16" s="54">
        <f ca="1">'Объемы и ОПУ по годам'!C15</f>
        <v>-78.075374842541152</v>
      </c>
      <c r="E16" s="54">
        <f ca="1">'Объемы и ОПУ по годам'!D15</f>
        <v>-92.376150939986815</v>
      </c>
      <c r="F16" s="54">
        <f ca="1">'Объемы и ОПУ по годам'!E15</f>
        <v>-109.2963470197473</v>
      </c>
    </row>
    <row r="17" spans="2:15" x14ac:dyDescent="0.35">
      <c r="B17" s="59" t="s">
        <v>105</v>
      </c>
      <c r="C17" s="84"/>
      <c r="D17" s="54">
        <f ca="1">'Объемы и ОПУ по годам'!C16</f>
        <v>-1.921855380739474</v>
      </c>
      <c r="E17" s="54">
        <f ca="1">'Объемы и ОПУ по годам'!D16</f>
        <v>-2.165594747311046</v>
      </c>
      <c r="F17" s="54">
        <f ca="1">'Объемы и ОПУ по годам'!E16</f>
        <v>-2.4402463663924046</v>
      </c>
      <c r="O17" s="90"/>
    </row>
    <row r="18" spans="2:15" x14ac:dyDescent="0.35">
      <c r="B18" s="59" t="s">
        <v>108</v>
      </c>
      <c r="C18" s="84"/>
      <c r="D18" s="54">
        <f ca="1">'Объемы и ОПУ по годам'!C17</f>
        <v>-1.921855380739474</v>
      </c>
      <c r="E18" s="54">
        <f ca="1">'Объемы и ОПУ по годам'!D17</f>
        <v>-2.165594747311046</v>
      </c>
      <c r="F18" s="54">
        <f ca="1">'Объемы и ОПУ по годам'!E17</f>
        <v>-2.4402463663924046</v>
      </c>
      <c r="H18" s="89"/>
      <c r="I18" s="89"/>
      <c r="J18" s="89"/>
      <c r="K18" s="89"/>
      <c r="L18" s="89"/>
      <c r="M18" s="89"/>
      <c r="N18" s="89"/>
      <c r="O18" s="88"/>
    </row>
    <row r="19" spans="2:15" x14ac:dyDescent="0.35">
      <c r="B19" s="82" t="s">
        <v>84</v>
      </c>
      <c r="C19" s="84"/>
      <c r="D19" s="58">
        <f ca="1">'Объемы и ОПУ по годам'!C18</f>
        <v>2193.977361699659</v>
      </c>
      <c r="E19" s="58">
        <f ca="1">'Объемы и ОПУ по годам'!D18</f>
        <v>2546.8195052499213</v>
      </c>
      <c r="F19" s="58">
        <f ca="1">'Объемы и ОПУ по годам'!E18</f>
        <v>2956.0427768330778</v>
      </c>
      <c r="H19" s="27"/>
      <c r="I19" s="27"/>
      <c r="J19" s="27"/>
      <c r="K19" s="27"/>
      <c r="L19" s="27"/>
      <c r="M19" s="27"/>
      <c r="N19" s="27"/>
      <c r="O19" s="27"/>
    </row>
    <row r="20" spans="2:15" x14ac:dyDescent="0.35">
      <c r="B20" s="82" t="s">
        <v>51</v>
      </c>
      <c r="C20" s="84"/>
      <c r="D20" s="58">
        <f ca="1">'Объемы и ОПУ по годам'!C19</f>
        <v>-1407.1034482758616</v>
      </c>
      <c r="E20" s="58">
        <f ca="1">'Объемы и ОПУ по годам'!D19</f>
        <v>-1414.6034482758616</v>
      </c>
      <c r="F20" s="58">
        <f ca="1">'Объемы и ОПУ по годам'!E19</f>
        <v>-1422.4784482758616</v>
      </c>
      <c r="H20" s="27"/>
      <c r="I20" s="27"/>
      <c r="J20" s="27"/>
      <c r="K20" s="27"/>
      <c r="L20" s="27"/>
      <c r="M20" s="27"/>
      <c r="N20" s="27"/>
      <c r="O20" s="27"/>
    </row>
    <row r="21" spans="2:15" x14ac:dyDescent="0.35">
      <c r="B21" s="60" t="s">
        <v>113</v>
      </c>
      <c r="C21" s="84"/>
      <c r="D21" s="54">
        <f ca="1">'Объемы и ОПУ по годам'!C20</f>
        <v>-1257.1034482758616</v>
      </c>
      <c r="E21" s="54">
        <f ca="1">'Объемы и ОПУ по годам'!D20</f>
        <v>-1257.1034482758616</v>
      </c>
      <c r="F21" s="54">
        <f ca="1">'Объемы и ОПУ по годам'!E20</f>
        <v>-1257.1034482758616</v>
      </c>
      <c r="H21" s="30"/>
      <c r="I21" s="30"/>
      <c r="J21" s="30"/>
      <c r="K21" s="30"/>
      <c r="L21" s="30"/>
      <c r="M21" s="30"/>
      <c r="N21" s="30"/>
      <c r="O21" s="30"/>
    </row>
    <row r="22" spans="2:15" x14ac:dyDescent="0.35">
      <c r="B22" s="61" t="s">
        <v>110</v>
      </c>
      <c r="C22" s="84"/>
      <c r="D22" s="54">
        <f ca="1">'Объемы и ОПУ по годам'!C21</f>
        <v>-99.999999999999986</v>
      </c>
      <c r="E22" s="54">
        <f ca="1">'Объемы и ОПУ по годам'!D21</f>
        <v>-105</v>
      </c>
      <c r="F22" s="54">
        <f ca="1">'Объемы и ОПУ по годам'!E21</f>
        <v>-110.25</v>
      </c>
      <c r="H22" s="30"/>
      <c r="I22" s="30"/>
      <c r="J22" s="30"/>
      <c r="K22" s="30"/>
      <c r="L22" s="30"/>
      <c r="M22" s="30"/>
      <c r="N22" s="30"/>
      <c r="O22" s="30"/>
    </row>
    <row r="23" spans="2:15" x14ac:dyDescent="0.35">
      <c r="B23" s="61" t="s">
        <v>112</v>
      </c>
      <c r="C23" s="84"/>
      <c r="D23" s="54">
        <f ca="1">'Объемы и ОПУ по годам'!C22</f>
        <v>-49.999999999999993</v>
      </c>
      <c r="E23" s="54">
        <f ca="1">'Объемы и ОПУ по годам'!D22</f>
        <v>-52.5</v>
      </c>
      <c r="F23" s="54">
        <f ca="1">'Объемы и ОПУ по годам'!E22</f>
        <v>-55.125</v>
      </c>
      <c r="H23" s="30"/>
      <c r="I23" s="30"/>
      <c r="J23" s="30"/>
      <c r="K23" s="30"/>
      <c r="L23" s="30"/>
      <c r="M23" s="30"/>
      <c r="N23" s="30"/>
      <c r="O23" s="30"/>
    </row>
    <row r="24" spans="2:15" x14ac:dyDescent="0.35">
      <c r="B24" s="82" t="s">
        <v>85</v>
      </c>
      <c r="C24" s="84"/>
      <c r="D24" s="58">
        <f ca="1">'Объемы и ОПУ по годам'!C23</f>
        <v>786.87391342379692</v>
      </c>
      <c r="E24" s="58">
        <f ca="1">'Объемы и ОПУ по годам'!D23</f>
        <v>1132.216056974059</v>
      </c>
      <c r="F24" s="58">
        <f ca="1">'Объемы и ОПУ по годам'!E23</f>
        <v>1533.5643285572157</v>
      </c>
      <c r="H24" s="30"/>
      <c r="I24" s="30"/>
      <c r="J24" s="30"/>
      <c r="K24" s="30"/>
      <c r="L24" s="30"/>
      <c r="M24" s="30"/>
      <c r="N24" s="30"/>
      <c r="O24" s="30"/>
    </row>
    <row r="25" spans="2:15" x14ac:dyDescent="0.35">
      <c r="B25" s="84" t="s">
        <v>86</v>
      </c>
      <c r="C25" s="84"/>
      <c r="D25" s="54">
        <f ca="1">'Объемы и ОПУ по годам'!C24</f>
        <v>-180</v>
      </c>
      <c r="E25" s="54">
        <f ca="1">'Объемы и ОПУ по годам'!D24</f>
        <v>-180</v>
      </c>
      <c r="F25" s="54">
        <f ca="1">'Объемы и ОПУ по годам'!E24</f>
        <v>-180</v>
      </c>
      <c r="H25" s="30"/>
      <c r="I25" s="30"/>
      <c r="J25" s="30"/>
      <c r="K25" s="30"/>
      <c r="L25" s="30"/>
      <c r="M25" s="30"/>
      <c r="N25" s="30"/>
      <c r="O25" s="30"/>
    </row>
    <row r="26" spans="2:15" x14ac:dyDescent="0.35">
      <c r="B26" s="82" t="s">
        <v>87</v>
      </c>
      <c r="C26" s="84"/>
      <c r="D26" s="58">
        <f ca="1">'Объемы и ОПУ по годам'!C25</f>
        <v>606.87391342379692</v>
      </c>
      <c r="E26" s="58">
        <f ca="1">'Объемы и ОПУ по годам'!D25</f>
        <v>952.21605697405892</v>
      </c>
      <c r="F26" s="58">
        <f ca="1">'Объемы и ОПУ по годам'!E25</f>
        <v>1353.5643285572155</v>
      </c>
      <c r="H26" s="27"/>
      <c r="I26" s="27"/>
      <c r="J26" s="27"/>
      <c r="K26" s="27"/>
      <c r="L26" s="27"/>
      <c r="M26" s="27"/>
      <c r="N26" s="27"/>
      <c r="O26" s="27"/>
    </row>
    <row r="27" spans="2:15" x14ac:dyDescent="0.35">
      <c r="B27" s="84" t="s">
        <v>70</v>
      </c>
      <c r="C27" s="84"/>
      <c r="D27" s="54">
        <f ca="1">'Объемы и ОПУ по годам'!C26</f>
        <v>-91.374782684759396</v>
      </c>
      <c r="E27" s="54">
        <f ca="1">'Объемы и ОПУ по годам'!D26</f>
        <v>-190.44321139481181</v>
      </c>
      <c r="F27" s="54">
        <f ca="1">'Объемы и ОПУ по годам'!E26</f>
        <v>-270.7128657114431</v>
      </c>
      <c r="H27" s="27"/>
      <c r="I27" s="27"/>
      <c r="J27" s="27"/>
      <c r="K27" s="27"/>
      <c r="L27" s="27"/>
      <c r="M27" s="27"/>
      <c r="N27" s="27"/>
      <c r="O27" s="27"/>
    </row>
    <row r="28" spans="2:15" x14ac:dyDescent="0.35">
      <c r="B28" s="82" t="s">
        <v>88</v>
      </c>
      <c r="C28" s="84"/>
      <c r="D28" s="58">
        <f ca="1">'Объемы и ОПУ по годам'!C27</f>
        <v>515.49913073903758</v>
      </c>
      <c r="E28" s="58">
        <f ca="1">'Объемы и ОПУ по годам'!D27</f>
        <v>761.77284557924713</v>
      </c>
      <c r="F28" s="58">
        <f ca="1">'Объемы и ОПУ по годам'!E27</f>
        <v>1082.8514628457724</v>
      </c>
      <c r="H28" s="30"/>
      <c r="I28" s="30"/>
      <c r="J28" s="30"/>
      <c r="K28" s="30"/>
      <c r="L28" s="30"/>
      <c r="M28" s="30"/>
      <c r="N28" s="30"/>
      <c r="O28" s="30"/>
    </row>
    <row r="29" spans="2:15" x14ac:dyDescent="0.35">
      <c r="H29" s="30"/>
      <c r="I29" s="30"/>
      <c r="J29" s="30"/>
      <c r="K29" s="30"/>
      <c r="L29" s="30"/>
      <c r="M29" s="30"/>
      <c r="N29" s="30"/>
      <c r="O29" s="30"/>
    </row>
    <row r="30" spans="2:15" ht="21" customHeight="1" x14ac:dyDescent="0.5">
      <c r="B30" s="87" t="s">
        <v>135</v>
      </c>
      <c r="F30" s="91" t="s">
        <v>14</v>
      </c>
      <c r="G30" s="30"/>
      <c r="H30" s="30"/>
      <c r="I30" s="30"/>
      <c r="J30" s="30"/>
      <c r="K30" s="30"/>
      <c r="L30" s="30"/>
      <c r="M30" s="30"/>
      <c r="N30" s="30"/>
      <c r="O30" s="30"/>
    </row>
    <row r="31" spans="2:15" x14ac:dyDescent="0.35">
      <c r="B31" s="55" t="s">
        <v>186</v>
      </c>
      <c r="C31" s="55">
        <v>2025</v>
      </c>
      <c r="D31" s="55">
        <v>2026</v>
      </c>
      <c r="E31" s="55">
        <v>2027</v>
      </c>
      <c r="F31" s="55">
        <v>2028</v>
      </c>
      <c r="G31" s="27"/>
      <c r="H31" s="27"/>
      <c r="I31" s="27"/>
      <c r="J31" s="27"/>
      <c r="K31" s="27"/>
      <c r="L31" s="27"/>
      <c r="M31" s="27"/>
      <c r="N31" s="27"/>
      <c r="O31" s="27"/>
    </row>
    <row r="32" spans="2:15" x14ac:dyDescent="0.35">
      <c r="B32" s="81" t="s">
        <v>136</v>
      </c>
      <c r="C32" s="81">
        <f ca="1">'Баланс по годам'!B3</f>
        <v>350</v>
      </c>
      <c r="D32" s="81">
        <f ca="1">'Баланс по годам'!C3</f>
        <v>1365.4991307390378</v>
      </c>
      <c r="E32" s="81">
        <f ca="1">'Баланс по годам'!D3</f>
        <v>2127.2719763182859</v>
      </c>
      <c r="F32" s="81">
        <f ca="1">'Баланс по годам'!E3</f>
        <v>3210.1234391640573</v>
      </c>
      <c r="G32" s="30"/>
      <c r="H32" s="30"/>
      <c r="I32" s="30"/>
      <c r="J32" s="30"/>
      <c r="K32" s="30"/>
      <c r="L32" s="30"/>
      <c r="M32" s="30"/>
      <c r="N32" s="30"/>
      <c r="O32" s="30"/>
    </row>
    <row r="33" spans="2:15" x14ac:dyDescent="0.35">
      <c r="B33" s="82" t="s">
        <v>137</v>
      </c>
      <c r="C33" s="58">
        <f ca="1">'Баланс по годам'!B4</f>
        <v>180</v>
      </c>
      <c r="D33" s="58">
        <f ca="1">'Баланс по годам'!C4</f>
        <v>0</v>
      </c>
      <c r="E33" s="58">
        <f ca="1">'Баланс по годам'!D4</f>
        <v>180</v>
      </c>
      <c r="F33" s="58">
        <f ca="1">'Баланс по годам'!E4</f>
        <v>0</v>
      </c>
      <c r="G33" s="27"/>
      <c r="H33" s="27"/>
      <c r="I33" s="27"/>
      <c r="J33" s="27"/>
      <c r="K33" s="27"/>
      <c r="L33" s="27"/>
      <c r="M33" s="27"/>
      <c r="N33" s="27"/>
      <c r="O33" s="27"/>
    </row>
    <row r="34" spans="2:15" x14ac:dyDescent="0.35">
      <c r="B34" s="83" t="s">
        <v>138</v>
      </c>
      <c r="C34" s="54">
        <f ca="1">'Баланс по годам'!B5</f>
        <v>180</v>
      </c>
      <c r="D34" s="54">
        <f ca="1">'Баланс по годам'!C5</f>
        <v>0</v>
      </c>
      <c r="E34" s="54">
        <f ca="1">'Баланс по годам'!D5</f>
        <v>180</v>
      </c>
      <c r="F34" s="54">
        <f ca="1">'Баланс по годам'!E5</f>
        <v>0</v>
      </c>
      <c r="G34" s="30"/>
      <c r="H34" s="30"/>
      <c r="I34" s="30"/>
      <c r="J34" s="30"/>
      <c r="K34" s="30"/>
      <c r="L34" s="30"/>
      <c r="M34" s="30"/>
      <c r="N34" s="30"/>
      <c r="O34" s="30"/>
    </row>
    <row r="35" spans="2:15" x14ac:dyDescent="0.35">
      <c r="B35" s="82" t="s">
        <v>139</v>
      </c>
      <c r="C35" s="58">
        <f ca="1">'Баланс по годам'!B6</f>
        <v>170</v>
      </c>
      <c r="D35" s="58">
        <f ca="1">'Баланс по годам'!C6</f>
        <v>1365.4991307390378</v>
      </c>
      <c r="E35" s="58">
        <f ca="1">'Баланс по годам'!D6</f>
        <v>1947.2719763182856</v>
      </c>
      <c r="F35" s="58">
        <f ca="1">'Баланс по годам'!E6</f>
        <v>3210.1234391640573</v>
      </c>
      <c r="G35" s="27"/>
      <c r="H35" s="27"/>
      <c r="I35" s="27"/>
      <c r="J35" s="27"/>
      <c r="K35" s="27"/>
      <c r="L35" s="27"/>
      <c r="M35" s="27"/>
      <c r="N35" s="27"/>
      <c r="O35" s="27"/>
    </row>
    <row r="36" spans="2:15" x14ac:dyDescent="0.35">
      <c r="B36" s="84" t="s">
        <v>140</v>
      </c>
      <c r="C36" s="54">
        <f>'Баланс по годам'!B7</f>
        <v>0</v>
      </c>
      <c r="D36" s="54">
        <f>'Баланс по годам'!C7</f>
        <v>0</v>
      </c>
      <c r="E36" s="54">
        <f>'Баланс по годам'!D7</f>
        <v>0</v>
      </c>
      <c r="F36" s="54">
        <f>'Баланс по годам'!E7</f>
        <v>0</v>
      </c>
    </row>
    <row r="37" spans="2:15" x14ac:dyDescent="0.35">
      <c r="B37" s="84" t="s">
        <v>141</v>
      </c>
      <c r="C37" s="54">
        <f>'Баланс по годам'!B8</f>
        <v>0</v>
      </c>
      <c r="D37" s="54">
        <f>'Баланс по годам'!C8</f>
        <v>0</v>
      </c>
      <c r="E37" s="54">
        <f>'Баланс по годам'!D8</f>
        <v>0</v>
      </c>
      <c r="F37" s="54">
        <f>'Баланс по годам'!E8</f>
        <v>0</v>
      </c>
    </row>
    <row r="38" spans="2:15" x14ac:dyDescent="0.35">
      <c r="B38" s="84" t="s">
        <v>142</v>
      </c>
      <c r="C38" s="54">
        <f ca="1">'Баланс по годам'!B9</f>
        <v>170</v>
      </c>
      <c r="D38" s="54">
        <f ca="1">'Баланс по годам'!C9</f>
        <v>1365.4991307390378</v>
      </c>
      <c r="E38" s="54">
        <f ca="1">'Баланс по годам'!D9</f>
        <v>1947.2719763182856</v>
      </c>
      <c r="F38" s="54">
        <f ca="1">'Баланс по годам'!E9</f>
        <v>3210.1234391640573</v>
      </c>
    </row>
    <row r="39" spans="2:15" x14ac:dyDescent="0.35">
      <c r="B39" s="84"/>
      <c r="C39" s="54">
        <v>0</v>
      </c>
      <c r="D39" s="54">
        <v>0</v>
      </c>
      <c r="E39" s="54">
        <v>0</v>
      </c>
      <c r="F39" s="54">
        <v>0</v>
      </c>
    </row>
    <row r="40" spans="2:15" x14ac:dyDescent="0.35">
      <c r="B40" s="81" t="s">
        <v>143</v>
      </c>
      <c r="C40" s="81">
        <f ca="1">'Баланс по годам'!B11</f>
        <v>350</v>
      </c>
      <c r="D40" s="81">
        <f ca="1">'Баланс по годам'!C11</f>
        <v>1365.4991307390376</v>
      </c>
      <c r="E40" s="81">
        <f ca="1">'Баланс по годам'!D11</f>
        <v>2127.2719763182849</v>
      </c>
      <c r="F40" s="81">
        <f ca="1">'Баланс по годам'!E11</f>
        <v>3210.1234391640573</v>
      </c>
    </row>
    <row r="41" spans="2:15" x14ac:dyDescent="0.35">
      <c r="B41" s="82" t="s">
        <v>144</v>
      </c>
      <c r="C41" s="54">
        <f ca="1">'Баланс по годам'!B12</f>
        <v>-50</v>
      </c>
      <c r="D41" s="54">
        <f ca="1">'Баланс по годам'!C12</f>
        <v>1165.4991307390376</v>
      </c>
      <c r="E41" s="54">
        <f ca="1">'Баланс по годам'!D12</f>
        <v>1927.2719763182849</v>
      </c>
      <c r="F41" s="54">
        <f ca="1">'Баланс по годам'!E12</f>
        <v>3010.1234391640573</v>
      </c>
    </row>
    <row r="42" spans="2:15" x14ac:dyDescent="0.35">
      <c r="B42" s="84" t="s">
        <v>145</v>
      </c>
      <c r="C42" s="54">
        <f>'Баланс по годам'!B13</f>
        <v>100</v>
      </c>
      <c r="D42" s="54">
        <f>'Баланс по годам'!C13</f>
        <v>800</v>
      </c>
      <c r="E42" s="54">
        <f>'Баланс по годам'!D13</f>
        <v>800</v>
      </c>
      <c r="F42" s="54">
        <f>'Баланс по годам'!E13</f>
        <v>800</v>
      </c>
    </row>
    <row r="43" spans="2:15" x14ac:dyDescent="0.35">
      <c r="B43" s="84" t="s">
        <v>146</v>
      </c>
      <c r="C43" s="54">
        <f ca="1">'Баланс по годам'!B14</f>
        <v>-150</v>
      </c>
      <c r="D43" s="54">
        <f ca="1">'Баланс по годам'!C14</f>
        <v>365.49913073903758</v>
      </c>
      <c r="E43" s="54">
        <f ca="1">'Баланс по годам'!D14</f>
        <v>1127.2719763182849</v>
      </c>
      <c r="F43" s="54">
        <f ca="1">'Баланс по годам'!E14</f>
        <v>2210.1234391640573</v>
      </c>
    </row>
    <row r="44" spans="2:15" x14ac:dyDescent="0.35">
      <c r="B44" s="82" t="s">
        <v>147</v>
      </c>
      <c r="C44" s="54">
        <f>'Баланс по годам'!B15</f>
        <v>0</v>
      </c>
      <c r="D44" s="54">
        <f>'Баланс по годам'!C15</f>
        <v>0</v>
      </c>
      <c r="E44" s="54">
        <f>'Баланс по годам'!D15</f>
        <v>0</v>
      </c>
      <c r="F44" s="54">
        <f>'Баланс по годам'!E15</f>
        <v>0</v>
      </c>
    </row>
    <row r="45" spans="2:15" x14ac:dyDescent="0.35">
      <c r="B45" s="84" t="s">
        <v>148</v>
      </c>
      <c r="C45" s="54">
        <f>'Баланс по годам'!B16</f>
        <v>0</v>
      </c>
      <c r="D45" s="54">
        <f>'Баланс по годам'!C16</f>
        <v>0</v>
      </c>
      <c r="E45" s="54">
        <f>'Баланс по годам'!D16</f>
        <v>0</v>
      </c>
      <c r="F45" s="54">
        <f>'Баланс по годам'!E16</f>
        <v>0</v>
      </c>
    </row>
    <row r="46" spans="2:15" x14ac:dyDescent="0.35">
      <c r="B46" s="82" t="s">
        <v>149</v>
      </c>
      <c r="C46" s="54">
        <f>'Баланс по годам'!B17</f>
        <v>400</v>
      </c>
      <c r="D46" s="54">
        <f>'Баланс по годам'!C17</f>
        <v>200</v>
      </c>
      <c r="E46" s="54">
        <f>'Баланс по годам'!D17</f>
        <v>200</v>
      </c>
      <c r="F46" s="54">
        <f>'Баланс по годам'!E17</f>
        <v>200</v>
      </c>
    </row>
    <row r="47" spans="2:15" x14ac:dyDescent="0.35">
      <c r="B47" s="84" t="s">
        <v>148</v>
      </c>
      <c r="C47" s="54">
        <f>'Баланс по годам'!B18</f>
        <v>200</v>
      </c>
      <c r="D47" s="54">
        <f>'Баланс по годам'!C18</f>
        <v>0</v>
      </c>
      <c r="E47" s="54">
        <f>'Баланс по годам'!D18</f>
        <v>0</v>
      </c>
      <c r="F47" s="54">
        <f>'Баланс по годам'!E18</f>
        <v>0</v>
      </c>
    </row>
    <row r="48" spans="2:15" x14ac:dyDescent="0.35">
      <c r="B48" s="84" t="s">
        <v>150</v>
      </c>
      <c r="C48" s="54">
        <f>'Баланс по годам'!B19</f>
        <v>200</v>
      </c>
      <c r="D48" s="54">
        <f>'Баланс по годам'!C19</f>
        <v>200</v>
      </c>
      <c r="E48" s="54">
        <f>'Баланс по годам'!D19</f>
        <v>200</v>
      </c>
      <c r="F48" s="54">
        <f>'Баланс по годам'!E19</f>
        <v>200</v>
      </c>
    </row>
    <row r="51" spans="2:6" ht="21" customHeight="1" x14ac:dyDescent="0.5">
      <c r="B51" s="100" t="s">
        <v>152</v>
      </c>
      <c r="F51" s="98" t="s">
        <v>14</v>
      </c>
    </row>
    <row r="52" spans="2:6" x14ac:dyDescent="0.35">
      <c r="B52" s="101" t="s">
        <v>186</v>
      </c>
      <c r="C52" s="101"/>
      <c r="D52" s="101">
        <v>2026</v>
      </c>
      <c r="E52" s="101">
        <v>2027</v>
      </c>
      <c r="F52" s="101">
        <v>2028</v>
      </c>
    </row>
    <row r="53" spans="2:6" x14ac:dyDescent="0.35">
      <c r="B53" s="102" t="s">
        <v>153</v>
      </c>
      <c r="C53" s="113"/>
      <c r="D53" s="113"/>
      <c r="E53" s="113"/>
      <c r="F53" s="113"/>
    </row>
    <row r="54" spans="2:6" x14ac:dyDescent="0.35">
      <c r="B54" s="103" t="s">
        <v>154</v>
      </c>
      <c r="C54" s="113"/>
      <c r="D54" s="104">
        <f ca="1">SUM(Расчеты!J176:U176)</f>
        <v>3913.0167959191913</v>
      </c>
      <c r="E54" s="104">
        <f ca="1">SUM(Расчеты!V176:AG176)</f>
        <v>4570.6650228975441</v>
      </c>
      <c r="F54" s="104">
        <f ca="1">SUM(Расчеты!AH176:AS176)</f>
        <v>5338.8420855555223</v>
      </c>
    </row>
    <row r="55" spans="2:6" x14ac:dyDescent="0.35">
      <c r="B55" s="103" t="s">
        <v>155</v>
      </c>
      <c r="C55" s="113"/>
      <c r="D55" s="104">
        <f ca="1">SUM(Расчеты!J177:U177)</f>
        <v>-1202.9853755738739</v>
      </c>
      <c r="E55" s="104">
        <f ca="1">SUM(Расчеты!V177:AG177)</f>
        <v>-1423.0935182611122</v>
      </c>
      <c r="F55" s="104">
        <f ca="1">SUM(Расчеты!AH177:AS177)</f>
        <v>-1683.4878393246452</v>
      </c>
    </row>
    <row r="56" spans="2:6" x14ac:dyDescent="0.35">
      <c r="B56" s="103" t="s">
        <v>156</v>
      </c>
      <c r="C56" s="113"/>
      <c r="D56" s="104">
        <f ca="1">SUM(Расчеты!J178:U178)</f>
        <v>-1437.1034482758616</v>
      </c>
      <c r="E56" s="104">
        <f ca="1">SUM(Расчеты!V178:AG178)</f>
        <v>-1446.1034482758616</v>
      </c>
      <c r="F56" s="104">
        <f ca="1">SUM(Расчеты!AH178:AS178)</f>
        <v>-1455.5534482758621</v>
      </c>
    </row>
    <row r="57" spans="2:6" x14ac:dyDescent="0.35">
      <c r="B57" s="103" t="s">
        <v>157</v>
      </c>
      <c r="C57" s="113"/>
      <c r="D57" s="104">
        <f ca="1">SUM(Расчеты!J179:U179)</f>
        <v>-486.05405864565847</v>
      </c>
      <c r="E57" s="104">
        <f ca="1">SUM(Расчеты!V179:AG179)</f>
        <v>-569.25199938651008</v>
      </c>
      <c r="F57" s="104">
        <f ca="1">SUM(Расчеты!AH179:AS179)</f>
        <v>-666.23646939779894</v>
      </c>
    </row>
    <row r="58" spans="2:6" x14ac:dyDescent="0.35">
      <c r="B58" s="103" t="s">
        <v>158</v>
      </c>
      <c r="C58" s="113"/>
      <c r="D58" s="104">
        <f ca="1">SUM(Расчеты!J180:U180)</f>
        <v>-91.374782684759396</v>
      </c>
      <c r="E58" s="104">
        <f ca="1">SUM(Расчеты!V180:AG180)</f>
        <v>-190.44321139481181</v>
      </c>
      <c r="F58" s="104">
        <f ca="1">SUM(Расчеты!AH180:AS180)</f>
        <v>-270.7128657114431</v>
      </c>
    </row>
    <row r="59" spans="2:6" x14ac:dyDescent="0.35">
      <c r="B59" s="102" t="s">
        <v>159</v>
      </c>
      <c r="C59" s="113"/>
      <c r="D59" s="105">
        <f ca="1">SUM(Расчеты!J181:U181)</f>
        <v>695.49913073903735</v>
      </c>
      <c r="E59" s="105">
        <f ca="1">SUM(Расчеты!V181:AG181)</f>
        <v>941.77284557924736</v>
      </c>
      <c r="F59" s="105">
        <f ca="1">SUM(Расчеты!AH181:AS181)</f>
        <v>1262.8514628457729</v>
      </c>
    </row>
    <row r="60" spans="2:6" x14ac:dyDescent="0.35">
      <c r="B60" s="102" t="s">
        <v>160</v>
      </c>
      <c r="C60" s="113"/>
      <c r="D60" s="113"/>
      <c r="E60" s="113"/>
      <c r="F60" s="113"/>
    </row>
    <row r="61" spans="2:6" x14ac:dyDescent="0.35">
      <c r="B61" s="103" t="s">
        <v>161</v>
      </c>
      <c r="C61" s="113"/>
      <c r="D61" s="104">
        <f>SUM(Расчеты!J184:U184)</f>
        <v>0</v>
      </c>
      <c r="E61" s="104">
        <f ca="1">SUM(Расчеты!V184:AG184)</f>
        <v>-360</v>
      </c>
      <c r="F61" s="104">
        <f>SUM(Расчеты!AH184:AS184)</f>
        <v>0</v>
      </c>
    </row>
    <row r="62" spans="2:6" x14ac:dyDescent="0.35">
      <c r="B62" s="102" t="s">
        <v>162</v>
      </c>
      <c r="C62" s="113"/>
      <c r="D62" s="105">
        <f>SUM(Расчеты!J185:U185)</f>
        <v>0</v>
      </c>
      <c r="E62" s="105">
        <f ca="1">SUM(Расчеты!V185:AG185)</f>
        <v>-360</v>
      </c>
      <c r="F62" s="105">
        <f>SUM(Расчеты!AH185:AS185)</f>
        <v>0</v>
      </c>
    </row>
    <row r="63" spans="2:6" x14ac:dyDescent="0.35">
      <c r="B63" s="102" t="s">
        <v>163</v>
      </c>
      <c r="C63" s="113"/>
      <c r="D63" s="113"/>
      <c r="E63" s="113"/>
      <c r="F63" s="113"/>
    </row>
    <row r="64" spans="2:6" x14ac:dyDescent="0.35">
      <c r="B64" s="103" t="s">
        <v>164</v>
      </c>
      <c r="C64" s="113"/>
      <c r="D64" s="104">
        <f>SUM(Расчеты!J188:U188)</f>
        <v>700</v>
      </c>
      <c r="E64" s="104">
        <f>SUM(Расчеты!V188:AG188)</f>
        <v>0</v>
      </c>
      <c r="F64" s="104">
        <f>SUM(Расчеты!AH188:AS188)</f>
        <v>0</v>
      </c>
    </row>
    <row r="65" spans="2:6" x14ac:dyDescent="0.35">
      <c r="B65" s="103" t="s">
        <v>165</v>
      </c>
      <c r="C65" s="113"/>
      <c r="D65" s="104">
        <f>SUM(Расчеты!J189:U189)</f>
        <v>-200</v>
      </c>
      <c r="E65" s="104">
        <f>SUM(Расчеты!V189:AG189)</f>
        <v>0</v>
      </c>
      <c r="F65" s="104">
        <f>SUM(Расчеты!AH189:AS189)</f>
        <v>0</v>
      </c>
    </row>
    <row r="66" spans="2:6" x14ac:dyDescent="0.35">
      <c r="B66" s="102" t="s">
        <v>166</v>
      </c>
      <c r="C66" s="113"/>
      <c r="D66" s="105">
        <f>SUM(Расчеты!J190:U190)</f>
        <v>500</v>
      </c>
      <c r="E66" s="105">
        <f>SUM(Расчеты!V190:AG190)</f>
        <v>0</v>
      </c>
      <c r="F66" s="105">
        <f>SUM(Расчеты!AH190:AS190)</f>
        <v>0</v>
      </c>
    </row>
    <row r="67" spans="2:6" x14ac:dyDescent="0.35">
      <c r="B67" s="103" t="s">
        <v>167</v>
      </c>
      <c r="C67" s="113"/>
      <c r="D67" s="104">
        <f ca="1">Расчеты!J192</f>
        <v>170</v>
      </c>
      <c r="E67" s="104">
        <f ca="1">Расчеты!V192</f>
        <v>1365.4991307390376</v>
      </c>
      <c r="F67" s="104">
        <f ca="1">Расчеты!AH192</f>
        <v>1947.2719763182849</v>
      </c>
    </row>
    <row r="68" spans="2:6" x14ac:dyDescent="0.35">
      <c r="B68" s="102" t="s">
        <v>168</v>
      </c>
      <c r="C68" s="113"/>
      <c r="D68" s="105">
        <f ca="1">SUM(Расчеты!J193:U193)</f>
        <v>1195.4991307390374</v>
      </c>
      <c r="E68" s="105">
        <f ca="1">SUM(Расчеты!V193:AG193)</f>
        <v>581.77284557924713</v>
      </c>
      <c r="F68" s="105">
        <f ca="1">SUM(Расчеты!AH193:AS193)</f>
        <v>1262.8514628457729</v>
      </c>
    </row>
    <row r="69" spans="2:6" x14ac:dyDescent="0.35">
      <c r="B69" s="106" t="s">
        <v>169</v>
      </c>
      <c r="C69" s="106"/>
      <c r="D69" s="107">
        <f ca="1">Расчеты!U194</f>
        <v>1365.4991307390376</v>
      </c>
      <c r="E69" s="107">
        <f ca="1">Расчеты!AG194</f>
        <v>1947.2719763182849</v>
      </c>
      <c r="F69" s="107">
        <f ca="1">Расчеты!AS194</f>
        <v>3210.1234391640578</v>
      </c>
    </row>
    <row r="71" spans="2:6" ht="21" customHeight="1" x14ac:dyDescent="0.5">
      <c r="B71" s="100" t="s">
        <v>191</v>
      </c>
      <c r="F71" s="98" t="s">
        <v>192</v>
      </c>
    </row>
    <row r="72" spans="2:6" x14ac:dyDescent="0.35">
      <c r="B72" s="101" t="s">
        <v>186</v>
      </c>
      <c r="C72" s="101"/>
      <c r="D72" s="101">
        <v>2026</v>
      </c>
      <c r="E72" s="101">
        <v>2027</v>
      </c>
      <c r="F72" s="101">
        <v>2028</v>
      </c>
    </row>
    <row r="73" spans="2:6" x14ac:dyDescent="0.35">
      <c r="B73" s="103" t="s">
        <v>83</v>
      </c>
      <c r="C73" s="113"/>
      <c r="D73" s="108">
        <f ca="1">'Объемы и ОПУ по годам'!C11/'Объемы и ОПУ по годам'!C$11</f>
        <v>1</v>
      </c>
      <c r="E73" s="108">
        <f ca="1">'Объемы и ОПУ по годам'!D11/'Объемы и ОПУ по годам'!D$11</f>
        <v>1</v>
      </c>
      <c r="F73" s="108">
        <f ca="1">'Объемы и ОПУ по годам'!E11/'Объемы и ОПУ по годам'!E$11</f>
        <v>1</v>
      </c>
    </row>
    <row r="74" spans="2:6" x14ac:dyDescent="0.35">
      <c r="B74" s="103" t="s">
        <v>24</v>
      </c>
      <c r="C74" s="113"/>
      <c r="D74" s="108">
        <f ca="1">'Объемы и ОПУ по годам'!C12/'Объемы и ОПУ по годам'!C$11</f>
        <v>-0.32717568787712387</v>
      </c>
      <c r="E74" s="108">
        <f ca="1">'Объемы и ОПУ по годам'!D12/'Объемы и ОПУ по годам'!D$11</f>
        <v>-0.33134819747467359</v>
      </c>
      <c r="F74" s="108">
        <f ca="1">'Объемы и ОПУ по годам'!E12/'Объемы и ОПУ по годам'!E$11</f>
        <v>-0.33557665213643578</v>
      </c>
    </row>
    <row r="75" spans="2:6" x14ac:dyDescent="0.35">
      <c r="B75" s="103" t="s">
        <v>96</v>
      </c>
      <c r="C75" s="113"/>
      <c r="D75" s="108">
        <f ca="1">'Объемы и ОПУ по годам'!C13/'Объемы и ОПУ по годам'!C$11</f>
        <v>-0.18417906320486591</v>
      </c>
      <c r="E75" s="108">
        <f ca="1">'Объемы и ОПУ по годам'!D13/'Объемы и ОПУ по годам'!D$11</f>
        <v>-0.1865599267244395</v>
      </c>
      <c r="F75" s="108">
        <f ca="1">'Объемы и ОПУ по годам'!E13/'Объемы и ОПУ по годам'!E$11</f>
        <v>-0.18897156741814025</v>
      </c>
    </row>
    <row r="76" spans="2:6" x14ac:dyDescent="0.35">
      <c r="B76" s="103" t="s">
        <v>98</v>
      </c>
      <c r="C76" s="113"/>
      <c r="D76" s="108">
        <f ca="1">'Объемы и ОПУ по годам'!C14/'Объемы и ОПУ по годам'!C$11</f>
        <v>-0.11787460045111418</v>
      </c>
      <c r="E76" s="108">
        <f ca="1">'Объемы и ОПУ по годам'!D14/'Объемы и ОПУ по годам'!D$11</f>
        <v>-0.1193983531036413</v>
      </c>
      <c r="F76" s="108">
        <f ca="1">'Объемы и ОПУ по годам'!E14/'Объемы и ОПУ по годам'!E$11</f>
        <v>-0.12094180314760979</v>
      </c>
    </row>
    <row r="77" spans="2:6" x14ac:dyDescent="0.35">
      <c r="B77" s="103" t="s">
        <v>103</v>
      </c>
      <c r="C77" s="113"/>
      <c r="D77" s="108">
        <f ca="1">'Объемы и ОПУ по годам'!C15/'Объемы и ОПУ по годам'!C$11</f>
        <v>-2.3943278216632578E-2</v>
      </c>
      <c r="E77" s="108">
        <f ca="1">'Объемы и ОПУ по годам'!D15/'Объемы и ОПУ по годам'!D$11</f>
        <v>-2.4252790474177142E-2</v>
      </c>
      <c r="F77" s="108">
        <f ca="1">'Объемы и ОПУ по годам'!E15/'Объемы и ОПУ по годам'!E$11</f>
        <v>-2.4566303764358231E-2</v>
      </c>
    </row>
    <row r="78" spans="2:6" x14ac:dyDescent="0.35">
      <c r="B78" s="103" t="s">
        <v>105</v>
      </c>
      <c r="C78" s="113"/>
      <c r="D78" s="108">
        <f ca="1">'Объемы и ОПУ по годам'!C16/'Объемы и ОПУ по годам'!C$11</f>
        <v>-5.8937300225557097E-4</v>
      </c>
      <c r="E78" s="108">
        <f ca="1">'Объемы и ОПУ по годам'!D16/'Объемы и ОПУ по годам'!D$11</f>
        <v>-5.685635862078157E-4</v>
      </c>
      <c r="F78" s="108">
        <f ca="1">'Объемы и ОПУ по годам'!E16/'Объемы и ОПУ по годам'!E$11</f>
        <v>-5.4848890316376304E-4</v>
      </c>
    </row>
    <row r="79" spans="2:6" x14ac:dyDescent="0.35">
      <c r="B79" s="103" t="s">
        <v>108</v>
      </c>
      <c r="C79" s="113"/>
      <c r="D79" s="108">
        <f ca="1">'Объемы и ОПУ по годам'!C17/'Объемы и ОПУ по годам'!C$11</f>
        <v>-5.8937300225557097E-4</v>
      </c>
      <c r="E79" s="108">
        <f ca="1">'Объемы и ОПУ по годам'!D17/'Объемы и ОПУ по годам'!D$11</f>
        <v>-5.685635862078157E-4</v>
      </c>
      <c r="F79" s="108">
        <f ca="1">'Объемы и ОПУ по годам'!E17/'Объемы и ОПУ по годам'!E$11</f>
        <v>-5.4848890316376304E-4</v>
      </c>
    </row>
    <row r="80" spans="2:6" x14ac:dyDescent="0.35">
      <c r="B80" s="102" t="s">
        <v>84</v>
      </c>
      <c r="C80" s="113"/>
      <c r="D80" s="109">
        <f ca="1">'Объемы и ОПУ по годам'!C18/'Объемы и ОПУ по годам'!C$11</f>
        <v>0.67282431212287608</v>
      </c>
      <c r="E80" s="109">
        <f ca="1">'Объемы и ОПУ по годам'!D18/'Объемы и ОПУ по годам'!D$11</f>
        <v>0.66865180252532663</v>
      </c>
      <c r="F80" s="109">
        <f ca="1">'Объемы и ОПУ по годам'!E18/'Объемы и ОПУ по годам'!E$11</f>
        <v>0.66442334786356427</v>
      </c>
    </row>
    <row r="81" spans="2:6" x14ac:dyDescent="0.35">
      <c r="B81" s="103" t="s">
        <v>51</v>
      </c>
      <c r="C81" s="113"/>
      <c r="D81" s="108">
        <f ca="1">'Объемы и ОПУ по годам'!C19/'Объемы и ОПУ по годам'!C$11</f>
        <v>-0.43151466655905046</v>
      </c>
      <c r="E81" s="108">
        <f ca="1">'Объемы и ОПУ по годам'!D19/'Объемы и ОПУ по годам'!D$11</f>
        <v>-0.3713954379564004</v>
      </c>
      <c r="F81" s="108">
        <f ca="1">'Объемы и ОПУ по годам'!E19/'Объемы и ОПУ по годам'!E$11</f>
        <v>-0.31972740728730853</v>
      </c>
    </row>
    <row r="82" spans="2:6" x14ac:dyDescent="0.35">
      <c r="B82" s="103" t="s">
        <v>113</v>
      </c>
      <c r="C82" s="113"/>
      <c r="D82" s="108">
        <f ca="1">'Объемы и ОПУ по годам'!C20/'Объемы и ОПУ по годам'!C$11</f>
        <v>-0.38551435289116165</v>
      </c>
      <c r="E82" s="108">
        <f ca="1">'Объемы и ОПУ по годам'!D20/'Объемы и ОПУ по годам'!D$11</f>
        <v>-0.33004478131165144</v>
      </c>
      <c r="F82" s="108">
        <f ca="1">'Объемы и ОПУ по годам'!E20/'Объемы и ОПУ по годам'!E$11</f>
        <v>-0.28255642586103347</v>
      </c>
    </row>
    <row r="83" spans="2:6" x14ac:dyDescent="0.35">
      <c r="B83" s="103" t="s">
        <v>110</v>
      </c>
      <c r="C83" s="113"/>
      <c r="D83" s="108">
        <f ca="1">'Объемы и ОПУ по годам'!C21/'Объемы и ОПУ по годам'!C$11</f>
        <v>-3.0666875778592523E-2</v>
      </c>
      <c r="E83" s="108">
        <f ca="1">'Объемы и ОПУ по годам'!D21/'Объемы и ОПУ по годам'!D$11</f>
        <v>-2.7567104429832647E-2</v>
      </c>
      <c r="F83" s="108">
        <f ca="1">'Объемы и ОПУ по годам'!E21/'Объемы и ОПУ по годам'!E$11</f>
        <v>-2.4780654284183384E-2</v>
      </c>
    </row>
    <row r="84" spans="2:6" x14ac:dyDescent="0.35">
      <c r="B84" s="103" t="s">
        <v>112</v>
      </c>
      <c r="C84" s="113"/>
      <c r="D84" s="108">
        <f ca="1">'Объемы и ОПУ по годам'!C22/'Объемы и ОПУ по годам'!C$11</f>
        <v>-1.5333437889296262E-2</v>
      </c>
      <c r="E84" s="108">
        <f ca="1">'Объемы и ОПУ по годам'!D22/'Объемы и ОПУ по годам'!D$11</f>
        <v>-1.3783552214916324E-2</v>
      </c>
      <c r="F84" s="108">
        <f ca="1">'Объемы и ОПУ по годам'!E22/'Объемы и ОПУ по годам'!E$11</f>
        <v>-1.2390327142091692E-2</v>
      </c>
    </row>
    <row r="85" spans="2:6" x14ac:dyDescent="0.35">
      <c r="B85" s="102" t="s">
        <v>85</v>
      </c>
      <c r="C85" s="113"/>
      <c r="D85" s="109">
        <f ca="1">'Объемы и ОПУ по годам'!C23/'Объемы и ОПУ по годам'!C$11</f>
        <v>0.24130964556382553</v>
      </c>
      <c r="E85" s="109">
        <f ca="1">'Объемы и ОПУ по годам'!D23/'Объемы и ОПУ по годам'!D$11</f>
        <v>0.29725636456892607</v>
      </c>
      <c r="F85" s="109">
        <f ca="1">'Объемы и ОПУ по годам'!E23/'Объемы и ОПУ по годам'!E$11</f>
        <v>0.34469594057625563</v>
      </c>
    </row>
    <row r="86" spans="2:6" x14ac:dyDescent="0.35">
      <c r="B86" s="103" t="s">
        <v>86</v>
      </c>
      <c r="C86" s="113"/>
      <c r="D86" s="108">
        <f ca="1">'Объемы и ОПУ по годам'!C24/'Объемы и ОПУ по годам'!C$11</f>
        <v>-5.520037640146655E-2</v>
      </c>
      <c r="E86" s="108">
        <f ca="1">'Объемы и ОПУ по годам'!D24/'Объемы и ОПУ по годам'!D$11</f>
        <v>-4.7257893308284539E-2</v>
      </c>
      <c r="F86" s="108">
        <f ca="1">'Объемы и ОПУ по годам'!E24/'Объемы и ОПУ по годам'!E$11</f>
        <v>-4.0458211076217769E-2</v>
      </c>
    </row>
    <row r="87" spans="2:6" x14ac:dyDescent="0.35">
      <c r="B87" s="102" t="s">
        <v>87</v>
      </c>
      <c r="C87" s="113"/>
      <c r="D87" s="109">
        <f ca="1">'Объемы и ОПУ по годам'!C25/'Объемы и ОПУ по годам'!C$11</f>
        <v>0.18610926916235895</v>
      </c>
      <c r="E87" s="109">
        <f ca="1">'Объемы и ОПУ по годам'!D25/'Объемы и ОПУ по годам'!D$11</f>
        <v>0.24999847126064148</v>
      </c>
      <c r="F87" s="109">
        <f ca="1">'Объемы и ОПУ по годам'!E25/'Объемы и ОПУ по годам'!E$11</f>
        <v>0.3042377295000378</v>
      </c>
    </row>
    <row r="88" spans="2:6" x14ac:dyDescent="0.35">
      <c r="B88" s="103" t="s">
        <v>70</v>
      </c>
      <c r="C88" s="113"/>
      <c r="D88" s="108">
        <f ca="1">'Объемы и ОПУ по годам'!C26/'Объемы и ОПУ по годам'!C$11</f>
        <v>-2.802179109889404E-2</v>
      </c>
      <c r="E88" s="108">
        <f ca="1">'Объемы и ОПУ по годам'!D26/'Объемы и ОПУ по годам'!D$11</f>
        <v>-4.9999694252128302E-2</v>
      </c>
      <c r="F88" s="108">
        <f ca="1">'Объемы и ОПУ по годам'!E26/'Объемы и ОПУ по годам'!E$11</f>
        <v>-6.0847545900007564E-2</v>
      </c>
    </row>
    <row r="89" spans="2:6" x14ac:dyDescent="0.35">
      <c r="B89" s="106" t="s">
        <v>193</v>
      </c>
      <c r="C89" s="106"/>
      <c r="D89" s="110">
        <f ca="1">'Объемы и ОПУ по годам'!C27/'Объемы и ОПУ по годам'!C$11</f>
        <v>0.15808747806346496</v>
      </c>
      <c r="E89" s="110">
        <f ca="1">'Объемы и ОПУ по годам'!D27/'Объемы и ОПУ по годам'!D$11</f>
        <v>0.19999877700851318</v>
      </c>
      <c r="F89" s="110">
        <f ca="1">'Объемы и ОПУ по годам'!E27/'Объемы и ОПУ по годам'!E$11</f>
        <v>0.24339018360003026</v>
      </c>
    </row>
  </sheetData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7"/>
  <sheetViews>
    <sheetView workbookViewId="0">
      <selection activeCell="F41" sqref="F41"/>
    </sheetView>
  </sheetViews>
  <sheetFormatPr defaultRowHeight="14.5" x14ac:dyDescent="0.35"/>
  <cols>
    <col min="1" max="1" width="27.81640625" style="86" bestFit="1" customWidth="1"/>
    <col min="2" max="15" width="11.453125" style="86" customWidth="1"/>
  </cols>
  <sheetData>
    <row r="1" spans="1:15" x14ac:dyDescent="0.35">
      <c r="L1" s="51" t="s">
        <v>194</v>
      </c>
      <c r="O1" s="52" t="s">
        <v>195</v>
      </c>
    </row>
    <row r="2" spans="1:15" x14ac:dyDescent="0.35">
      <c r="O2" s="57" t="s">
        <v>196</v>
      </c>
    </row>
    <row r="4" spans="1:15" x14ac:dyDescent="0.35">
      <c r="A4" s="55" t="s">
        <v>186</v>
      </c>
      <c r="B4" s="55" t="s">
        <v>187</v>
      </c>
      <c r="C4" s="56">
        <v>46023</v>
      </c>
      <c r="D4" s="56">
        <v>46054</v>
      </c>
      <c r="E4" s="56">
        <v>46082</v>
      </c>
      <c r="F4" s="56">
        <v>46113</v>
      </c>
      <c r="G4" s="56">
        <v>46143</v>
      </c>
      <c r="H4" s="56">
        <v>46174</v>
      </c>
      <c r="I4" s="56">
        <v>46204</v>
      </c>
      <c r="J4" s="56">
        <v>46235</v>
      </c>
      <c r="K4" s="56">
        <v>46266</v>
      </c>
      <c r="L4" s="56">
        <v>46296</v>
      </c>
      <c r="M4" s="56">
        <v>46327</v>
      </c>
      <c r="N4" s="56">
        <v>46357</v>
      </c>
      <c r="O4" s="55" t="s">
        <v>197</v>
      </c>
    </row>
    <row r="5" spans="1:15" x14ac:dyDescent="0.35">
      <c r="A5" s="84" t="s">
        <v>188</v>
      </c>
      <c r="B5" s="84" t="s">
        <v>42</v>
      </c>
      <c r="C5" s="53">
        <f ca="1">Расчеты!J7</f>
        <v>50</v>
      </c>
      <c r="D5" s="53">
        <f ca="1">Расчеты!K7</f>
        <v>50.5</v>
      </c>
      <c r="E5" s="53">
        <f ca="1">Расчеты!L7</f>
        <v>51.005000000000003</v>
      </c>
      <c r="F5" s="53">
        <f ca="1">Расчеты!M7</f>
        <v>51.515050000000002</v>
      </c>
      <c r="G5" s="53">
        <f ca="1">Расчеты!N7</f>
        <v>104.060401</v>
      </c>
      <c r="H5" s="53">
        <f ca="1">Расчеты!O7</f>
        <v>52.550502504999997</v>
      </c>
      <c r="I5" s="53">
        <f ca="1">Расчеты!P7</f>
        <v>53.076007530049999</v>
      </c>
      <c r="J5" s="53">
        <f ca="1">Расчеты!Q7</f>
        <v>80.41015140802574</v>
      </c>
      <c r="K5" s="53">
        <f ca="1">Расчеты!R7</f>
        <v>54.142835281404004</v>
      </c>
      <c r="L5" s="53">
        <f ca="1">Расчеты!S7</f>
        <v>54.684263634218041</v>
      </c>
      <c r="M5" s="53">
        <f ca="1">Расчеты!T7</f>
        <v>55.231106270560218</v>
      </c>
      <c r="N5" s="53">
        <f ca="1">Расчеты!U7</f>
        <v>111.56683466653165</v>
      </c>
      <c r="O5" s="53">
        <f ca="1">SUM(C5:N5)</f>
        <v>768.74215229578965</v>
      </c>
    </row>
    <row r="6" spans="1:15" x14ac:dyDescent="0.35">
      <c r="A6" s="84"/>
      <c r="B6" s="8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3"/>
    </row>
    <row r="7" spans="1:15" x14ac:dyDescent="0.35">
      <c r="A7" s="84" t="s">
        <v>189</v>
      </c>
      <c r="B7" s="84" t="s">
        <v>14</v>
      </c>
      <c r="C7" s="54">
        <f ca="1">Расчеты!J9</f>
        <v>100</v>
      </c>
      <c r="D7" s="54">
        <f ca="1">Расчеты!K9</f>
        <v>100.3</v>
      </c>
      <c r="E7" s="54">
        <f ca="1">Расчеты!L9</f>
        <v>100.6009</v>
      </c>
      <c r="F7" s="54">
        <f ca="1">Расчеты!M9</f>
        <v>100.90270269999999</v>
      </c>
      <c r="G7" s="54">
        <f ca="1">Расчеты!N9</f>
        <v>101.2054108081</v>
      </c>
      <c r="H7" s="54">
        <f ca="1">Расчеты!O9</f>
        <v>101.5090270405243</v>
      </c>
      <c r="I7" s="54">
        <f ca="1">Расчеты!P9</f>
        <v>101.81355412164588</v>
      </c>
      <c r="J7" s="54">
        <f ca="1">Расчеты!Q9</f>
        <v>102.11899478401082</v>
      </c>
      <c r="K7" s="54">
        <f ca="1">Расчеты!R9</f>
        <v>102.42535176836286</v>
      </c>
      <c r="L7" s="54">
        <f ca="1">Расчеты!S9</f>
        <v>102.73262782366795</v>
      </c>
      <c r="M7" s="54">
        <f ca="1">Расчеты!T9</f>
        <v>103.04082570713896</v>
      </c>
      <c r="N7" s="54">
        <f ca="1">Расчеты!U9</f>
        <v>103.34994818426038</v>
      </c>
      <c r="O7" s="54">
        <f ca="1">O9/O5</f>
        <v>101.80310222961667</v>
      </c>
    </row>
    <row r="8" spans="1:15" x14ac:dyDescent="0.35">
      <c r="A8" s="84"/>
      <c r="B8" s="8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3"/>
    </row>
    <row r="9" spans="1:15" x14ac:dyDescent="0.35">
      <c r="A9" s="84" t="s">
        <v>190</v>
      </c>
      <c r="B9" s="84" t="s">
        <v>14</v>
      </c>
      <c r="C9" s="54">
        <f ca="1">Расчеты!J13</f>
        <v>5000</v>
      </c>
      <c r="D9" s="54">
        <f ca="1">Расчеты!K13</f>
        <v>5065.1499999999996</v>
      </c>
      <c r="E9" s="54">
        <f ca="1">Расчеты!L13</f>
        <v>5131.1489044999998</v>
      </c>
      <c r="F9" s="54">
        <f ca="1">Расчеты!M13</f>
        <v>5198.0077747256346</v>
      </c>
      <c r="G9" s="54">
        <f ca="1">Расчеты!N13</f>
        <v>10531.475632060619</v>
      </c>
      <c r="H9" s="54">
        <f ca="1">Расчеты!O13</f>
        <v>5334.3503797731846</v>
      </c>
      <c r="I9" s="54">
        <f ca="1">Расчеты!P13</f>
        <v>5403.8569652216302</v>
      </c>
      <c r="J9" s="54">
        <f ca="1">Расчеты!Q13</f>
        <v>8211.4038322177003</v>
      </c>
      <c r="K9" s="54">
        <f ca="1">Расчеты!R13</f>
        <v>5545.598949434333</v>
      </c>
      <c r="L9" s="54">
        <f ca="1">Расчеты!S13</f>
        <v>5617.8581037454624</v>
      </c>
      <c r="M9" s="54">
        <f ca="1">Расчеты!T13</f>
        <v>5691.0587948372649</v>
      </c>
      <c r="N9" s="54">
        <f ca="1">Расчеты!U13</f>
        <v>11530.426581867991</v>
      </c>
      <c r="O9" s="54">
        <f ca="1">SUM(C9:N9)</f>
        <v>78260.335918383818</v>
      </c>
    </row>
    <row r="11" spans="1:15" x14ac:dyDescent="0.35">
      <c r="L11" t="s">
        <v>198</v>
      </c>
    </row>
    <row r="13" spans="1:15" x14ac:dyDescent="0.35">
      <c r="L13" t="s">
        <v>199</v>
      </c>
    </row>
    <row r="15" spans="1:15" x14ac:dyDescent="0.35">
      <c r="L15" t="s">
        <v>199</v>
      </c>
    </row>
    <row r="17" spans="12:12" x14ac:dyDescent="0.35">
      <c r="L17" t="s">
        <v>199</v>
      </c>
    </row>
  </sheetData>
  <pageMargins left="0.70866141732283472" right="0.70866141732283472" top="0.74803149606299213" bottom="0.74803149606299213" header="0.31496062992125978" footer="0.31496062992125978"/>
  <pageSetup paperSize="9" scale="6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2"/>
  <sheetViews>
    <sheetView workbookViewId="0">
      <selection activeCell="C47" sqref="C47"/>
    </sheetView>
  </sheetViews>
  <sheetFormatPr defaultRowHeight="14.5" outlineLevelRow="1" x14ac:dyDescent="0.35"/>
  <cols>
    <col min="1" max="1" width="46" style="86" bestFit="1" customWidth="1"/>
    <col min="2" max="14" width="11.453125" style="86" customWidth="1"/>
  </cols>
  <sheetData>
    <row r="1" spans="1:14" x14ac:dyDescent="0.35">
      <c r="K1" s="51" t="s">
        <v>194</v>
      </c>
      <c r="N1" s="52" t="s">
        <v>195</v>
      </c>
    </row>
    <row r="2" spans="1:14" x14ac:dyDescent="0.35">
      <c r="N2" s="57" t="s">
        <v>196</v>
      </c>
    </row>
    <row r="3" spans="1:14" ht="21" customHeight="1" x14ac:dyDescent="0.5">
      <c r="A3" s="87" t="s">
        <v>82</v>
      </c>
    </row>
    <row r="4" spans="1:14" ht="15" customHeight="1" thickBot="1" x14ac:dyDescent="0.4">
      <c r="N4" s="90" t="s">
        <v>14</v>
      </c>
    </row>
    <row r="5" spans="1:14" x14ac:dyDescent="0.35">
      <c r="A5" s="62" t="s">
        <v>186</v>
      </c>
      <c r="B5" s="63">
        <v>46023</v>
      </c>
      <c r="C5" s="63">
        <v>46054</v>
      </c>
      <c r="D5" s="63">
        <v>46082</v>
      </c>
      <c r="E5" s="63">
        <v>46113</v>
      </c>
      <c r="F5" s="63">
        <v>46143</v>
      </c>
      <c r="G5" s="63">
        <v>46174</v>
      </c>
      <c r="H5" s="63">
        <v>46204</v>
      </c>
      <c r="I5" s="63">
        <v>46235</v>
      </c>
      <c r="J5" s="63">
        <v>46266</v>
      </c>
      <c r="K5" s="63">
        <v>46296</v>
      </c>
      <c r="L5" s="63">
        <v>46327</v>
      </c>
      <c r="M5" s="63">
        <v>46357</v>
      </c>
      <c r="N5" s="64" t="s">
        <v>197</v>
      </c>
    </row>
    <row r="6" spans="1:14" x14ac:dyDescent="0.35">
      <c r="A6" s="65" t="s">
        <v>83</v>
      </c>
      <c r="B6" s="58">
        <f ca="1">Расчеты!J18</f>
        <v>208.33333333333337</v>
      </c>
      <c r="C6" s="58">
        <f ca="1">Расчеты!K18</f>
        <v>211.04791666666665</v>
      </c>
      <c r="D6" s="58">
        <f ca="1">Расчеты!L18</f>
        <v>213.79787102083338</v>
      </c>
      <c r="E6" s="58">
        <f ca="1">Расчеты!M18</f>
        <v>216.58365728023477</v>
      </c>
      <c r="F6" s="58">
        <f ca="1">Расчеты!N18</f>
        <v>438.81148466919262</v>
      </c>
      <c r="G6" s="58">
        <f ca="1">Расчеты!O18</f>
        <v>222.26459915721603</v>
      </c>
      <c r="H6" s="58">
        <f ca="1">Расчеты!P18</f>
        <v>225.16070688423457</v>
      </c>
      <c r="I6" s="58">
        <f ca="1">Расчеты!Q18</f>
        <v>342.14182634240427</v>
      </c>
      <c r="J6" s="58">
        <f ca="1">Расчеты!R18</f>
        <v>231.06662289309722</v>
      </c>
      <c r="K6" s="58">
        <f ca="1">Расчеты!S18</f>
        <v>234.07742098939426</v>
      </c>
      <c r="L6" s="58">
        <f ca="1">Расчеты!T18</f>
        <v>237.12744978488604</v>
      </c>
      <c r="M6" s="58">
        <f ca="1">Расчеты!U18</f>
        <v>480.43444091116635</v>
      </c>
      <c r="N6" s="66">
        <f t="shared" ref="N6:N14" ca="1" si="0">SUM(B6:M6)</f>
        <v>3260.8473299326597</v>
      </c>
    </row>
    <row r="7" spans="1:14" x14ac:dyDescent="0.35">
      <c r="A7" s="65" t="s">
        <v>24</v>
      </c>
      <c r="B7" s="58">
        <f ca="1">Расчеты!J19</f>
        <v>-69.390625</v>
      </c>
      <c r="C7" s="58">
        <f ca="1">Расчеты!K19</f>
        <v>-70.084531249999998</v>
      </c>
      <c r="D7" s="58">
        <f ca="1">Расчеты!L19</f>
        <v>-70.785376562499991</v>
      </c>
      <c r="E7" s="58">
        <f ca="1">Расчеты!M19</f>
        <v>-71.493230328124994</v>
      </c>
      <c r="F7" s="58">
        <f ca="1">Расчеты!N19</f>
        <v>-144.41632526281253</v>
      </c>
      <c r="G7" s="58">
        <f ca="1">Расчеты!O19</f>
        <v>-72.930244257720318</v>
      </c>
      <c r="H7" s="58">
        <f ca="1">Расчеты!P19</f>
        <v>-73.659546700297511</v>
      </c>
      <c r="I7" s="58">
        <f ca="1">Расчеты!Q19</f>
        <v>-111.59421325095072</v>
      </c>
      <c r="J7" s="58">
        <f ca="1">Расчеты!R19</f>
        <v>-75.140103588973474</v>
      </c>
      <c r="K7" s="58">
        <f ca="1">Расчеты!S19</f>
        <v>-75.891504624863245</v>
      </c>
      <c r="L7" s="58">
        <f ca="1">Расчеты!T19</f>
        <v>-76.650419671111848</v>
      </c>
      <c r="M7" s="58">
        <f ca="1">Расчеты!U19</f>
        <v>-154.83384773564592</v>
      </c>
      <c r="N7" s="66">
        <f t="shared" ca="1" si="0"/>
        <v>-1066.8699682330007</v>
      </c>
    </row>
    <row r="8" spans="1:14" outlineLevel="1" x14ac:dyDescent="0.35">
      <c r="A8" s="65" t="s">
        <v>84</v>
      </c>
      <c r="B8" s="58">
        <f ca="1">Расчеты!J25</f>
        <v>138.94270833333337</v>
      </c>
      <c r="C8" s="58">
        <f ca="1">Расчеты!K25</f>
        <v>140.96338541666665</v>
      </c>
      <c r="D8" s="58">
        <f ca="1">Расчеты!L25</f>
        <v>143.01249445833338</v>
      </c>
      <c r="E8" s="58">
        <f ca="1">Расчеты!M25</f>
        <v>145.09042695210979</v>
      </c>
      <c r="F8" s="58">
        <f ca="1">Расчеты!N25</f>
        <v>294.39515940638012</v>
      </c>
      <c r="G8" s="58">
        <f ca="1">Расчеты!O25</f>
        <v>149.33435489949571</v>
      </c>
      <c r="H8" s="58">
        <f ca="1">Расчеты!P25</f>
        <v>151.50116018393706</v>
      </c>
      <c r="I8" s="58">
        <f ca="1">Расчеты!Q25</f>
        <v>230.54761309145357</v>
      </c>
      <c r="J8" s="58">
        <f ca="1">Расчеты!R25</f>
        <v>155.92651930412376</v>
      </c>
      <c r="K8" s="58">
        <f ca="1">Расчеты!S25</f>
        <v>158.18591636453101</v>
      </c>
      <c r="L8" s="58">
        <f ca="1">Расчеты!T25</f>
        <v>160.47703011377419</v>
      </c>
      <c r="M8" s="58">
        <f ca="1">Расчеты!U25</f>
        <v>325.60059317552043</v>
      </c>
      <c r="N8" s="66">
        <f t="shared" ca="1" si="0"/>
        <v>2193.977361699659</v>
      </c>
    </row>
    <row r="9" spans="1:14" outlineLevel="1" x14ac:dyDescent="0.35">
      <c r="A9" s="65" t="s">
        <v>51</v>
      </c>
      <c r="B9" s="58">
        <f ca="1">Расчеты!J26</f>
        <v>-117.25862068965517</v>
      </c>
      <c r="C9" s="58">
        <f ca="1">Расчеты!K26</f>
        <v>-117.25862068965517</v>
      </c>
      <c r="D9" s="58">
        <f ca="1">Расчеты!L26</f>
        <v>-117.25862068965517</v>
      </c>
      <c r="E9" s="58">
        <f ca="1">Расчеты!M26</f>
        <v>-117.25862068965517</v>
      </c>
      <c r="F9" s="58">
        <f ca="1">Расчеты!N26</f>
        <v>-117.25862068965517</v>
      </c>
      <c r="G9" s="58">
        <f ca="1">Расчеты!O26</f>
        <v>-117.25862068965517</v>
      </c>
      <c r="H9" s="58">
        <f ca="1">Расчеты!P26</f>
        <v>-117.25862068965517</v>
      </c>
      <c r="I9" s="58">
        <f ca="1">Расчеты!Q26</f>
        <v>-117.25862068965517</v>
      </c>
      <c r="J9" s="58">
        <f ca="1">Расчеты!R26</f>
        <v>-117.25862068965517</v>
      </c>
      <c r="K9" s="58">
        <f ca="1">Расчеты!S26</f>
        <v>-117.25862068965517</v>
      </c>
      <c r="L9" s="58">
        <f ca="1">Расчеты!T26</f>
        <v>-117.25862068965517</v>
      </c>
      <c r="M9" s="58">
        <f ca="1">Расчеты!U26</f>
        <v>-117.25862068965517</v>
      </c>
      <c r="N9" s="66">
        <f t="shared" ca="1" si="0"/>
        <v>-1407.1034482758616</v>
      </c>
    </row>
    <row r="10" spans="1:14" outlineLevel="1" x14ac:dyDescent="0.35">
      <c r="A10" s="65" t="s">
        <v>85</v>
      </c>
      <c r="B10" s="58">
        <f ca="1">Расчеты!J30</f>
        <v>21.684087643678197</v>
      </c>
      <c r="C10" s="58">
        <f ca="1">Расчеты!K30</f>
        <v>23.704764727011479</v>
      </c>
      <c r="D10" s="58">
        <f ca="1">Расчеты!L30</f>
        <v>25.753873768678204</v>
      </c>
      <c r="E10" s="58">
        <f ca="1">Расчеты!M30</f>
        <v>27.83180626245462</v>
      </c>
      <c r="F10" s="58">
        <f ca="1">Расчеты!N30</f>
        <v>177.13653871672494</v>
      </c>
      <c r="G10" s="58">
        <f ca="1">Расчеты!O30</f>
        <v>32.075734209840533</v>
      </c>
      <c r="H10" s="58">
        <f ca="1">Расчеты!P30</f>
        <v>34.242539494281885</v>
      </c>
      <c r="I10" s="58">
        <f ca="1">Расчеты!Q30</f>
        <v>113.2889924017984</v>
      </c>
      <c r="J10" s="58">
        <f ca="1">Расчеты!R30</f>
        <v>38.667898614468584</v>
      </c>
      <c r="K10" s="58">
        <f ca="1">Расчеты!S30</f>
        <v>40.927295674875836</v>
      </c>
      <c r="L10" s="58">
        <f ca="1">Расчеты!T30</f>
        <v>43.218409424119017</v>
      </c>
      <c r="M10" s="58">
        <f ca="1">Расчеты!U30</f>
        <v>208.34197248586526</v>
      </c>
      <c r="N10" s="66">
        <f t="shared" ca="1" si="0"/>
        <v>786.87391342379692</v>
      </c>
    </row>
    <row r="11" spans="1:14" outlineLevel="1" x14ac:dyDescent="0.35">
      <c r="A11" s="68" t="s">
        <v>86</v>
      </c>
      <c r="B11" s="54">
        <f ca="1">Расчеты!J31</f>
        <v>-15</v>
      </c>
      <c r="C11" s="54">
        <f ca="1">Расчеты!K31</f>
        <v>-15</v>
      </c>
      <c r="D11" s="54">
        <f ca="1">Расчеты!L31</f>
        <v>-15</v>
      </c>
      <c r="E11" s="54">
        <f ca="1">Расчеты!M31</f>
        <v>-15</v>
      </c>
      <c r="F11" s="54">
        <f ca="1">Расчеты!N31</f>
        <v>-15</v>
      </c>
      <c r="G11" s="54">
        <f ca="1">Расчеты!O31</f>
        <v>-15</v>
      </c>
      <c r="H11" s="54">
        <f ca="1">Расчеты!P31</f>
        <v>-15</v>
      </c>
      <c r="I11" s="54">
        <f ca="1">Расчеты!Q31</f>
        <v>-15</v>
      </c>
      <c r="J11" s="54">
        <f ca="1">Расчеты!R31</f>
        <v>-15</v>
      </c>
      <c r="K11" s="54">
        <f ca="1">Расчеты!S31</f>
        <v>-15</v>
      </c>
      <c r="L11" s="54">
        <f ca="1">Расчеты!T31</f>
        <v>-15</v>
      </c>
      <c r="M11" s="54">
        <f ca="1">Расчеты!U31</f>
        <v>-15</v>
      </c>
      <c r="N11" s="67">
        <f t="shared" ca="1" si="0"/>
        <v>-180</v>
      </c>
    </row>
    <row r="12" spans="1:14" outlineLevel="1" x14ac:dyDescent="0.35">
      <c r="A12" s="65" t="s">
        <v>87</v>
      </c>
      <c r="B12" s="58">
        <f ca="1">Расчеты!J32</f>
        <v>6.6840876436781969</v>
      </c>
      <c r="C12" s="58">
        <f ca="1">Расчеты!K32</f>
        <v>8.7047647270114794</v>
      </c>
      <c r="D12" s="58">
        <f ca="1">Расчеты!L32</f>
        <v>10.753873768678204</v>
      </c>
      <c r="E12" s="58">
        <f ca="1">Расчеты!M32</f>
        <v>12.83180626245462</v>
      </c>
      <c r="F12" s="58">
        <f ca="1">Расчеты!N32</f>
        <v>162.13653871672494</v>
      </c>
      <c r="G12" s="58">
        <f ca="1">Расчеты!O32</f>
        <v>17.075734209840533</v>
      </c>
      <c r="H12" s="58">
        <f ca="1">Расчеты!P32</f>
        <v>19.242539494281885</v>
      </c>
      <c r="I12" s="58">
        <f ca="1">Расчеты!Q32</f>
        <v>98.288992401798396</v>
      </c>
      <c r="J12" s="58">
        <f ca="1">Расчеты!R32</f>
        <v>23.667898614468584</v>
      </c>
      <c r="K12" s="58">
        <f ca="1">Расчеты!S32</f>
        <v>25.927295674875836</v>
      </c>
      <c r="L12" s="58">
        <f ca="1">Расчеты!T32</f>
        <v>28.218409424119017</v>
      </c>
      <c r="M12" s="58">
        <f ca="1">Расчеты!U32</f>
        <v>193.34197248586526</v>
      </c>
      <c r="N12" s="66">
        <f t="shared" ca="1" si="0"/>
        <v>606.87391342379692</v>
      </c>
    </row>
    <row r="13" spans="1:14" x14ac:dyDescent="0.35">
      <c r="A13" s="68" t="s">
        <v>70</v>
      </c>
      <c r="B13" s="54">
        <f ca="1">Расчеты!J33</f>
        <v>0</v>
      </c>
      <c r="C13" s="54">
        <f ca="1">Расчеты!K33</f>
        <v>0</v>
      </c>
      <c r="D13" s="54">
        <f ca="1">Расчеты!L33</f>
        <v>0</v>
      </c>
      <c r="E13" s="54">
        <f ca="1">Расчеты!M33</f>
        <v>0</v>
      </c>
      <c r="F13" s="54">
        <f ca="1">Расчеты!N33</f>
        <v>-10.222214223709489</v>
      </c>
      <c r="G13" s="54">
        <f ca="1">Расчеты!O33</f>
        <v>-3.4151468419681068</v>
      </c>
      <c r="H13" s="54">
        <f ca="1">Расчеты!P33</f>
        <v>-3.8485078988563775</v>
      </c>
      <c r="I13" s="54">
        <f ca="1">Расчеты!Q33</f>
        <v>-19.657798480359681</v>
      </c>
      <c r="J13" s="54">
        <f ca="1">Расчеты!R33</f>
        <v>-4.7335797228937171</v>
      </c>
      <c r="K13" s="54">
        <f ca="1">Расчеты!S33</f>
        <v>-5.1854591349751677</v>
      </c>
      <c r="L13" s="54">
        <f ca="1">Расчеты!T33</f>
        <v>-5.6436818848238035</v>
      </c>
      <c r="M13" s="54">
        <f ca="1">Расчеты!U33</f>
        <v>-38.668394497173054</v>
      </c>
      <c r="N13" s="67">
        <f t="shared" ca="1" si="0"/>
        <v>-91.374782684759396</v>
      </c>
    </row>
    <row r="14" spans="1:14" ht="15" customHeight="1" thickBot="1" x14ac:dyDescent="0.4">
      <c r="A14" s="69" t="s">
        <v>88</v>
      </c>
      <c r="B14" s="70">
        <f ca="1">Расчеты!J34</f>
        <v>6.6840876436781969</v>
      </c>
      <c r="C14" s="70">
        <f ca="1">Расчеты!K34</f>
        <v>8.7047647270114794</v>
      </c>
      <c r="D14" s="70">
        <f ca="1">Расчеты!L34</f>
        <v>10.753873768678204</v>
      </c>
      <c r="E14" s="70">
        <f ca="1">Расчеты!M34</f>
        <v>12.83180626245462</v>
      </c>
      <c r="F14" s="70">
        <f ca="1">Расчеты!N34</f>
        <v>151.91432449301544</v>
      </c>
      <c r="G14" s="70">
        <f ca="1">Расчеты!O34</f>
        <v>13.660587367872427</v>
      </c>
      <c r="H14" s="70">
        <f ca="1">Расчеты!P34</f>
        <v>15.394031595425508</v>
      </c>
      <c r="I14" s="70">
        <f ca="1">Расчеты!Q34</f>
        <v>78.631193921438722</v>
      </c>
      <c r="J14" s="70">
        <f ca="1">Расчеты!R34</f>
        <v>18.934318891574868</v>
      </c>
      <c r="K14" s="70">
        <f ca="1">Расчеты!S34</f>
        <v>20.741836539900667</v>
      </c>
      <c r="L14" s="70">
        <f ca="1">Расчеты!T34</f>
        <v>22.574727539295214</v>
      </c>
      <c r="M14" s="70">
        <f ca="1">Расчеты!U34</f>
        <v>154.67357798869222</v>
      </c>
      <c r="N14" s="71">
        <f t="shared" ca="1" si="0"/>
        <v>515.49913073903758</v>
      </c>
    </row>
    <row r="15" spans="1:14" outlineLevel="1" x14ac:dyDescent="0.35"/>
    <row r="16" spans="1:14" outlineLevel="1" x14ac:dyDescent="0.35">
      <c r="K16" t="s">
        <v>198</v>
      </c>
    </row>
    <row r="17" spans="11:11" outlineLevel="1" x14ac:dyDescent="0.35"/>
    <row r="18" spans="11:11" x14ac:dyDescent="0.35">
      <c r="K18" t="s">
        <v>199</v>
      </c>
    </row>
    <row r="20" spans="11:11" x14ac:dyDescent="0.35">
      <c r="K20" t="s">
        <v>199</v>
      </c>
    </row>
    <row r="22" spans="11:11" ht="15" customHeight="1" x14ac:dyDescent="0.35">
      <c r="K22" t="s">
        <v>199</v>
      </c>
    </row>
  </sheetData>
  <pageMargins left="0.70866141732283472" right="0.70866141732283472" top="0.74803149606299213" bottom="0.74803149606299213" header="0.31496062992125978" footer="0.31496062992125978"/>
  <pageSetup paperSize="9" scale="67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I59" sqref="I59"/>
    </sheetView>
  </sheetViews>
  <sheetFormatPr defaultRowHeight="14.5" outlineLevelRow="1" x14ac:dyDescent="0.35"/>
  <cols>
    <col min="1" max="1" width="46" style="86" bestFit="1" customWidth="1"/>
  </cols>
  <sheetData>
    <row r="1" spans="1:6" ht="21" customHeight="1" x14ac:dyDescent="0.5">
      <c r="A1" s="87" t="s">
        <v>185</v>
      </c>
    </row>
    <row r="2" spans="1:6" x14ac:dyDescent="0.35">
      <c r="A2" s="55" t="s">
        <v>186</v>
      </c>
      <c r="B2" s="55" t="s">
        <v>187</v>
      </c>
      <c r="C2" s="55">
        <v>2026</v>
      </c>
      <c r="D2" s="55">
        <v>2027</v>
      </c>
      <c r="E2" s="55">
        <v>2028</v>
      </c>
    </row>
    <row r="3" spans="1:6" x14ac:dyDescent="0.35">
      <c r="A3" s="84" t="s">
        <v>188</v>
      </c>
      <c r="B3" s="84" t="s">
        <v>42</v>
      </c>
      <c r="C3" s="53">
        <f ca="1">SUM(Расчеты!J7:U7)</f>
        <v>768.74215229578965</v>
      </c>
      <c r="D3" s="53">
        <f ca="1">SUM(Расчеты!V7:AG7)</f>
        <v>866.23789892441846</v>
      </c>
      <c r="E3" s="53">
        <f ca="1">SUM(Расчеты!AH7:AS7)</f>
        <v>976.09854655696211</v>
      </c>
      <c r="F3" s="78"/>
    </row>
    <row r="4" spans="1:6" x14ac:dyDescent="0.35">
      <c r="A4" s="84"/>
      <c r="B4" s="84"/>
      <c r="C4" s="84"/>
      <c r="D4" s="84"/>
      <c r="E4" s="84"/>
    </row>
    <row r="5" spans="1:6" x14ac:dyDescent="0.35">
      <c r="A5" s="84" t="s">
        <v>189</v>
      </c>
      <c r="B5" s="84" t="s">
        <v>14</v>
      </c>
      <c r="C5" s="54">
        <f ca="1">C7/C3</f>
        <v>101.80310222961667</v>
      </c>
      <c r="D5" s="54">
        <f ca="1">D7/D3</f>
        <v>105.52909376449128</v>
      </c>
      <c r="E5" s="54">
        <f ca="1">E7/E3</f>
        <v>109.39145651609604</v>
      </c>
    </row>
    <row r="6" spans="1:6" x14ac:dyDescent="0.35">
      <c r="A6" s="84"/>
      <c r="B6" s="84"/>
      <c r="C6" s="84"/>
      <c r="D6" s="84"/>
      <c r="E6" s="84"/>
    </row>
    <row r="7" spans="1:6" x14ac:dyDescent="0.35">
      <c r="A7" s="84" t="s">
        <v>190</v>
      </c>
      <c r="B7" s="84" t="s">
        <v>14</v>
      </c>
      <c r="C7" s="54">
        <f ca="1">SUM(Расчеты!J13:U13)</f>
        <v>78260.335918383818</v>
      </c>
      <c r="D7" s="54">
        <f ca="1">SUM(Расчеты!V13:AG13)</f>
        <v>91413.300457950871</v>
      </c>
      <c r="E7" s="54">
        <f ca="1">SUM(Расчеты!AH13:AS13)</f>
        <v>106776.84171111046</v>
      </c>
    </row>
    <row r="9" spans="1:6" ht="21" customHeight="1" x14ac:dyDescent="0.5">
      <c r="A9" s="87" t="s">
        <v>82</v>
      </c>
      <c r="E9" s="91" t="s">
        <v>14</v>
      </c>
    </row>
    <row r="10" spans="1:6" x14ac:dyDescent="0.35">
      <c r="A10" s="55" t="s">
        <v>186</v>
      </c>
      <c r="B10" s="55"/>
      <c r="C10" s="55">
        <v>2026</v>
      </c>
      <c r="D10" s="55">
        <v>2027</v>
      </c>
      <c r="E10" s="55">
        <v>2028</v>
      </c>
    </row>
    <row r="11" spans="1:6" x14ac:dyDescent="0.35">
      <c r="A11" s="84" t="s">
        <v>83</v>
      </c>
      <c r="B11" s="84"/>
      <c r="C11" s="58">
        <f ca="1">SUM(Расчеты!J18:U18)</f>
        <v>3260.8473299326597</v>
      </c>
      <c r="D11" s="58">
        <f ca="1">SUM(Расчеты!V18:AG18)</f>
        <v>3808.887519081286</v>
      </c>
      <c r="E11" s="58">
        <f ca="1">SUM(Расчеты!AH18:AS18)</f>
        <v>4449.0350712962681</v>
      </c>
    </row>
    <row r="12" spans="1:6" x14ac:dyDescent="0.35">
      <c r="A12" s="82" t="s">
        <v>24</v>
      </c>
      <c r="B12" s="84"/>
      <c r="C12" s="58">
        <f ca="1">SUM(Расчеты!J19:U19)</f>
        <v>-1066.8699682330007</v>
      </c>
      <c r="D12" s="58">
        <f ca="1">SUM(Расчеты!V19:AG19)</f>
        <v>-1262.0680138313655</v>
      </c>
      <c r="E12" s="58">
        <f ca="1">SUM(Расчеты!AH19:AS19)</f>
        <v>-1492.9922944631905</v>
      </c>
    </row>
    <row r="13" spans="1:6" outlineLevel="1" x14ac:dyDescent="0.35">
      <c r="A13" s="59" t="s">
        <v>96</v>
      </c>
      <c r="B13" s="84"/>
      <c r="C13" s="54">
        <f ca="1">SUM(Расчеты!J20:U20)</f>
        <v>-600.5798064810856</v>
      </c>
      <c r="D13" s="54">
        <f ca="1">SUM(Расчеты!V20:AG20)</f>
        <v>-710.58577646143681</v>
      </c>
      <c r="E13" s="54">
        <f ca="1">SUM(Расчеты!AH20:AS20)</f>
        <v>-840.74113092113316</v>
      </c>
    </row>
    <row r="14" spans="1:6" outlineLevel="1" x14ac:dyDescent="0.35">
      <c r="A14" s="59" t="s">
        <v>98</v>
      </c>
      <c r="B14" s="84"/>
      <c r="C14" s="54">
        <f ca="1">SUM(Расчеты!J21:U21)</f>
        <v>-384.37107614789477</v>
      </c>
      <c r="D14" s="54">
        <f ca="1">SUM(Расчеты!V21:AG21)</f>
        <v>-454.7748969353197</v>
      </c>
      <c r="E14" s="54">
        <f ca="1">SUM(Расчеты!AH21:AS21)</f>
        <v>-538.07432378952535</v>
      </c>
    </row>
    <row r="15" spans="1:6" outlineLevel="1" x14ac:dyDescent="0.35">
      <c r="A15" s="59" t="s">
        <v>103</v>
      </c>
      <c r="B15" s="84"/>
      <c r="C15" s="54">
        <f ca="1">SUM(Расчеты!J22:U22)</f>
        <v>-78.075374842541152</v>
      </c>
      <c r="D15" s="54">
        <f ca="1">SUM(Расчеты!V22:AG22)</f>
        <v>-92.376150939986815</v>
      </c>
      <c r="E15" s="54">
        <f ca="1">SUM(Расчеты!AH22:AS22)</f>
        <v>-109.2963470197473</v>
      </c>
    </row>
    <row r="16" spans="1:6" outlineLevel="1" x14ac:dyDescent="0.35">
      <c r="A16" s="59" t="s">
        <v>105</v>
      </c>
      <c r="B16" s="84"/>
      <c r="C16" s="54">
        <f ca="1">SUM(Расчеты!J23:U23)</f>
        <v>-1.921855380739474</v>
      </c>
      <c r="D16" s="54">
        <f ca="1">SUM(Расчеты!V23:AG23)</f>
        <v>-2.165594747311046</v>
      </c>
      <c r="E16" s="54">
        <f ca="1">SUM(Расчеты!AH23:AS23)</f>
        <v>-2.4402463663924046</v>
      </c>
    </row>
    <row r="17" spans="1:5" outlineLevel="1" x14ac:dyDescent="0.35">
      <c r="A17" s="59" t="s">
        <v>108</v>
      </c>
      <c r="B17" s="84"/>
      <c r="C17" s="54">
        <f ca="1">SUM(Расчеты!J24:U24)</f>
        <v>-1.921855380739474</v>
      </c>
      <c r="D17" s="54">
        <f ca="1">SUM(Расчеты!V24:AG24)</f>
        <v>-2.165594747311046</v>
      </c>
      <c r="E17" s="54">
        <f ca="1">SUM(Расчеты!AH24:AS24)</f>
        <v>-2.4402463663924046</v>
      </c>
    </row>
    <row r="18" spans="1:5" x14ac:dyDescent="0.35">
      <c r="A18" s="82" t="s">
        <v>84</v>
      </c>
      <c r="B18" s="84"/>
      <c r="C18" s="58">
        <f ca="1">SUM(Расчеты!J25:U25)</f>
        <v>2193.977361699659</v>
      </c>
      <c r="D18" s="58">
        <f ca="1">SUM(Расчеты!V25:AG25)</f>
        <v>2546.8195052499213</v>
      </c>
      <c r="E18" s="58">
        <f ca="1">SUM(Расчеты!AH25:AS25)</f>
        <v>2956.0427768330778</v>
      </c>
    </row>
    <row r="19" spans="1:5" x14ac:dyDescent="0.35">
      <c r="A19" s="82" t="s">
        <v>51</v>
      </c>
      <c r="B19" s="84"/>
      <c r="C19" s="58">
        <f ca="1">SUM(Расчеты!J26:U26)</f>
        <v>-1407.1034482758616</v>
      </c>
      <c r="D19" s="58">
        <f ca="1">SUM(Расчеты!V26:AG26)</f>
        <v>-1414.6034482758616</v>
      </c>
      <c r="E19" s="58">
        <f ca="1">SUM(Расчеты!AH26:AS26)</f>
        <v>-1422.4784482758616</v>
      </c>
    </row>
    <row r="20" spans="1:5" outlineLevel="1" x14ac:dyDescent="0.35">
      <c r="A20" s="60" t="s">
        <v>113</v>
      </c>
      <c r="B20" s="84"/>
      <c r="C20" s="54">
        <f ca="1">SUM(Расчеты!J27:U27)</f>
        <v>-1257.1034482758616</v>
      </c>
      <c r="D20" s="54">
        <f ca="1">SUM(Расчеты!V27:AG27)</f>
        <v>-1257.1034482758616</v>
      </c>
      <c r="E20" s="54">
        <f ca="1">SUM(Расчеты!AH27:AS27)</f>
        <v>-1257.1034482758616</v>
      </c>
    </row>
    <row r="21" spans="1:5" outlineLevel="1" x14ac:dyDescent="0.35">
      <c r="A21" s="61" t="s">
        <v>110</v>
      </c>
      <c r="B21" s="84"/>
      <c r="C21" s="54">
        <f ca="1">SUM(Расчеты!J28:U28)</f>
        <v>-99.999999999999986</v>
      </c>
      <c r="D21" s="54">
        <f ca="1">SUM(Расчеты!V28:AG28)</f>
        <v>-105</v>
      </c>
      <c r="E21" s="54">
        <f ca="1">SUM(Расчеты!AH28:AS28)</f>
        <v>-110.25</v>
      </c>
    </row>
    <row r="22" spans="1:5" outlineLevel="1" x14ac:dyDescent="0.35">
      <c r="A22" s="61" t="s">
        <v>112</v>
      </c>
      <c r="B22" s="84"/>
      <c r="C22" s="54">
        <f ca="1">SUM(Расчеты!J29:U29)</f>
        <v>-49.999999999999993</v>
      </c>
      <c r="D22" s="54">
        <f ca="1">SUM(Расчеты!V29:AG29)</f>
        <v>-52.5</v>
      </c>
      <c r="E22" s="54">
        <f ca="1">SUM(Расчеты!AH29:AS29)</f>
        <v>-55.125</v>
      </c>
    </row>
    <row r="23" spans="1:5" x14ac:dyDescent="0.35">
      <c r="A23" s="82" t="s">
        <v>85</v>
      </c>
      <c r="B23" s="84"/>
      <c r="C23" s="58">
        <f ca="1">SUM(Расчеты!J30:U30)</f>
        <v>786.87391342379692</v>
      </c>
      <c r="D23" s="58">
        <f ca="1">SUM(Расчеты!V30:AG30)</f>
        <v>1132.216056974059</v>
      </c>
      <c r="E23" s="58">
        <f ca="1">SUM(Расчеты!AH30:AS30)</f>
        <v>1533.5643285572157</v>
      </c>
    </row>
    <row r="24" spans="1:5" x14ac:dyDescent="0.35">
      <c r="A24" s="84" t="s">
        <v>86</v>
      </c>
      <c r="B24" s="84"/>
      <c r="C24" s="54">
        <f ca="1">SUM(Расчеты!J31:U31)</f>
        <v>-180</v>
      </c>
      <c r="D24" s="54">
        <f ca="1">SUM(Расчеты!V31:AG31)</f>
        <v>-180</v>
      </c>
      <c r="E24" s="54">
        <f ca="1">SUM(Расчеты!AH31:AS31)</f>
        <v>-180</v>
      </c>
    </row>
    <row r="25" spans="1:5" x14ac:dyDescent="0.35">
      <c r="A25" s="82" t="s">
        <v>87</v>
      </c>
      <c r="B25" s="84"/>
      <c r="C25" s="58">
        <f ca="1">SUM(Расчеты!J32:U32)</f>
        <v>606.87391342379692</v>
      </c>
      <c r="D25" s="58">
        <f ca="1">SUM(Расчеты!V32:AG32)</f>
        <v>952.21605697405892</v>
      </c>
      <c r="E25" s="58">
        <f ca="1">SUM(Расчеты!AH32:AS32)</f>
        <v>1353.5643285572155</v>
      </c>
    </row>
    <row r="26" spans="1:5" x14ac:dyDescent="0.35">
      <c r="A26" s="84" t="s">
        <v>70</v>
      </c>
      <c r="B26" s="84"/>
      <c r="C26" s="54">
        <f ca="1">SUM(Расчеты!J33:U33)</f>
        <v>-91.374782684759396</v>
      </c>
      <c r="D26" s="54">
        <f ca="1">SUM(Расчеты!V33:AG33)</f>
        <v>-190.44321139481181</v>
      </c>
      <c r="E26" s="54">
        <f ca="1">SUM(Расчеты!AH33:AS33)</f>
        <v>-270.7128657114431</v>
      </c>
    </row>
    <row r="27" spans="1:5" x14ac:dyDescent="0.35">
      <c r="A27" s="82" t="s">
        <v>88</v>
      </c>
      <c r="B27" s="84"/>
      <c r="C27" s="58">
        <f ca="1">SUM(Расчеты!J34:U34)</f>
        <v>515.49913073903758</v>
      </c>
      <c r="D27" s="58">
        <f ca="1">SUM(Расчеты!V34:AG34)</f>
        <v>761.77284557924713</v>
      </c>
      <c r="E27" s="58">
        <f ca="1">SUM(Расчеты!AH34:AS34)</f>
        <v>1082.8514628457724</v>
      </c>
    </row>
  </sheetData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H49" sqref="H49"/>
    </sheetView>
  </sheetViews>
  <sheetFormatPr defaultRowHeight="14.5" x14ac:dyDescent="0.35"/>
  <cols>
    <col min="1" max="1" width="39.26953125" style="86" bestFit="1" customWidth="1"/>
    <col min="3" max="5" width="9.81640625" style="86" customWidth="1"/>
  </cols>
  <sheetData>
    <row r="1" spans="1:5" ht="21" customHeight="1" x14ac:dyDescent="0.5">
      <c r="A1" s="79" t="s">
        <v>135</v>
      </c>
      <c r="B1" s="84"/>
      <c r="C1" s="84"/>
      <c r="D1" s="84"/>
      <c r="E1" s="80" t="s">
        <v>14</v>
      </c>
    </row>
    <row r="2" spans="1:5" x14ac:dyDescent="0.35">
      <c r="A2" s="55" t="s">
        <v>186</v>
      </c>
      <c r="B2" s="55">
        <v>2025</v>
      </c>
      <c r="C2" s="55">
        <v>2026</v>
      </c>
      <c r="D2" s="55">
        <v>2027</v>
      </c>
      <c r="E2" s="55">
        <v>2028</v>
      </c>
    </row>
    <row r="3" spans="1:5" x14ac:dyDescent="0.35">
      <c r="A3" s="81" t="s">
        <v>136</v>
      </c>
      <c r="B3" s="81">
        <f ca="1">Расчеты!I154</f>
        <v>350</v>
      </c>
      <c r="C3" s="81">
        <f ca="1">Расчеты!U154</f>
        <v>1365.4991307390378</v>
      </c>
      <c r="D3" s="81">
        <f ca="1">Расчеты!AG154</f>
        <v>2127.2719763182859</v>
      </c>
      <c r="E3" s="81">
        <f ca="1">Расчеты!AS154</f>
        <v>3210.1234391640573</v>
      </c>
    </row>
    <row r="4" spans="1:5" x14ac:dyDescent="0.35">
      <c r="A4" s="82" t="s">
        <v>137</v>
      </c>
      <c r="B4" s="58">
        <f ca="1">Расчеты!I155</f>
        <v>180</v>
      </c>
      <c r="C4" s="58">
        <f ca="1">Расчеты!U155</f>
        <v>0</v>
      </c>
      <c r="D4" s="58">
        <f ca="1">Расчеты!AG155</f>
        <v>180</v>
      </c>
      <c r="E4" s="58">
        <f ca="1">Расчеты!AS155</f>
        <v>0</v>
      </c>
    </row>
    <row r="5" spans="1:5" x14ac:dyDescent="0.35">
      <c r="A5" s="83" t="s">
        <v>138</v>
      </c>
      <c r="B5" s="54">
        <f ca="1">Расчеты!I156</f>
        <v>180</v>
      </c>
      <c r="C5" s="54">
        <f ca="1">Расчеты!U156</f>
        <v>0</v>
      </c>
      <c r="D5" s="54">
        <f ca="1">Расчеты!AG156</f>
        <v>180</v>
      </c>
      <c r="E5" s="54">
        <f ca="1">Расчеты!AS156</f>
        <v>0</v>
      </c>
    </row>
    <row r="6" spans="1:5" x14ac:dyDescent="0.35">
      <c r="A6" s="82" t="s">
        <v>139</v>
      </c>
      <c r="B6" s="58">
        <f ca="1">Расчеты!I157</f>
        <v>170</v>
      </c>
      <c r="C6" s="58">
        <f ca="1">Расчеты!U157</f>
        <v>1365.4991307390378</v>
      </c>
      <c r="D6" s="58">
        <f ca="1">Расчеты!AG157</f>
        <v>1947.2719763182856</v>
      </c>
      <c r="E6" s="58">
        <f ca="1">Расчеты!AS157</f>
        <v>3210.1234391640573</v>
      </c>
    </row>
    <row r="7" spans="1:5" x14ac:dyDescent="0.35">
      <c r="A7" s="84" t="s">
        <v>140</v>
      </c>
      <c r="B7" s="54">
        <f>Расчеты!I158</f>
        <v>0</v>
      </c>
      <c r="C7" s="54">
        <f>Расчеты!U158</f>
        <v>0</v>
      </c>
      <c r="D7" s="54">
        <f>Расчеты!AG158</f>
        <v>0</v>
      </c>
      <c r="E7" s="54">
        <f>Расчеты!AS158</f>
        <v>0</v>
      </c>
    </row>
    <row r="8" spans="1:5" x14ac:dyDescent="0.35">
      <c r="A8" s="84" t="s">
        <v>141</v>
      </c>
      <c r="B8" s="54">
        <f>Расчеты!I159</f>
        <v>0</v>
      </c>
      <c r="C8" s="54">
        <f>Расчеты!U159</f>
        <v>0</v>
      </c>
      <c r="D8" s="54">
        <f>Расчеты!AG159</f>
        <v>0</v>
      </c>
      <c r="E8" s="54">
        <f>Расчеты!AS159</f>
        <v>0</v>
      </c>
    </row>
    <row r="9" spans="1:5" x14ac:dyDescent="0.35">
      <c r="A9" s="84" t="s">
        <v>142</v>
      </c>
      <c r="B9" s="54">
        <f ca="1">Расчеты!I160</f>
        <v>170</v>
      </c>
      <c r="C9" s="54">
        <f ca="1">Расчеты!U160</f>
        <v>1365.4991307390378</v>
      </c>
      <c r="D9" s="54">
        <f ca="1">Расчеты!AG160</f>
        <v>1947.2719763182856</v>
      </c>
      <c r="E9" s="54">
        <f ca="1">Расчеты!AS160</f>
        <v>3210.1234391640573</v>
      </c>
    </row>
    <row r="10" spans="1:5" x14ac:dyDescent="0.35">
      <c r="A10" s="84"/>
      <c r="B10" s="54"/>
      <c r="C10" s="54"/>
      <c r="D10" s="54"/>
      <c r="E10" s="54"/>
    </row>
    <row r="11" spans="1:5" x14ac:dyDescent="0.35">
      <c r="A11" s="81" t="s">
        <v>143</v>
      </c>
      <c r="B11" s="81">
        <f ca="1">Расчеты!I162</f>
        <v>350</v>
      </c>
      <c r="C11" s="81">
        <f ca="1">Расчеты!U162</f>
        <v>1365.4991307390376</v>
      </c>
      <c r="D11" s="81">
        <f ca="1">Расчеты!AG162</f>
        <v>2127.2719763182849</v>
      </c>
      <c r="E11" s="81">
        <f ca="1">Расчеты!AS162</f>
        <v>3210.1234391640573</v>
      </c>
    </row>
    <row r="12" spans="1:5" x14ac:dyDescent="0.35">
      <c r="A12" s="82" t="s">
        <v>144</v>
      </c>
      <c r="B12" s="54">
        <f ca="1">Расчеты!I163</f>
        <v>-50</v>
      </c>
      <c r="C12" s="54">
        <f ca="1">Расчеты!U163</f>
        <v>1165.4991307390376</v>
      </c>
      <c r="D12" s="54">
        <f ca="1">Расчеты!AG163</f>
        <v>1927.2719763182849</v>
      </c>
      <c r="E12" s="54">
        <f ca="1">Расчеты!AS163</f>
        <v>3010.1234391640573</v>
      </c>
    </row>
    <row r="13" spans="1:5" x14ac:dyDescent="0.35">
      <c r="A13" s="84" t="s">
        <v>145</v>
      </c>
      <c r="B13" s="54">
        <f>Расчеты!I164</f>
        <v>100</v>
      </c>
      <c r="C13" s="54">
        <f>Расчеты!U164</f>
        <v>800</v>
      </c>
      <c r="D13" s="54">
        <f>Расчеты!AG164</f>
        <v>800</v>
      </c>
      <c r="E13" s="54">
        <f>Расчеты!AS164</f>
        <v>800</v>
      </c>
    </row>
    <row r="14" spans="1:5" x14ac:dyDescent="0.35">
      <c r="A14" s="84" t="s">
        <v>146</v>
      </c>
      <c r="B14" s="54">
        <f ca="1">Расчеты!I165</f>
        <v>-150</v>
      </c>
      <c r="C14" s="54">
        <f ca="1">Расчеты!U165</f>
        <v>365.49913073903758</v>
      </c>
      <c r="D14" s="54">
        <f ca="1">Расчеты!AG165</f>
        <v>1127.2719763182849</v>
      </c>
      <c r="E14" s="54">
        <f ca="1">Расчеты!AS165</f>
        <v>2210.1234391640573</v>
      </c>
    </row>
    <row r="15" spans="1:5" x14ac:dyDescent="0.35">
      <c r="A15" s="82" t="s">
        <v>147</v>
      </c>
      <c r="B15" s="54">
        <f>Расчеты!I166</f>
        <v>0</v>
      </c>
      <c r="C15" s="54">
        <f>Расчеты!U166</f>
        <v>0</v>
      </c>
      <c r="D15" s="54">
        <f>Расчеты!AG166</f>
        <v>0</v>
      </c>
      <c r="E15" s="54">
        <f>Расчеты!AS166</f>
        <v>0</v>
      </c>
    </row>
    <row r="16" spans="1:5" x14ac:dyDescent="0.35">
      <c r="A16" s="84" t="s">
        <v>148</v>
      </c>
      <c r="B16" s="54">
        <f>Расчеты!I167</f>
        <v>0</v>
      </c>
      <c r="C16" s="54">
        <f>Расчеты!U167</f>
        <v>0</v>
      </c>
      <c r="D16" s="54">
        <f>Расчеты!AG167</f>
        <v>0</v>
      </c>
      <c r="E16" s="54">
        <f>Расчеты!AS167</f>
        <v>0</v>
      </c>
    </row>
    <row r="17" spans="1:5" x14ac:dyDescent="0.35">
      <c r="A17" s="82" t="s">
        <v>149</v>
      </c>
      <c r="B17" s="54">
        <f>Расчеты!I168</f>
        <v>400</v>
      </c>
      <c r="C17" s="54">
        <f>Расчеты!U168</f>
        <v>200</v>
      </c>
      <c r="D17" s="54">
        <f>Расчеты!AG168</f>
        <v>200</v>
      </c>
      <c r="E17" s="54">
        <f>Расчеты!AS168</f>
        <v>200</v>
      </c>
    </row>
    <row r="18" spans="1:5" x14ac:dyDescent="0.35">
      <c r="A18" s="84" t="s">
        <v>148</v>
      </c>
      <c r="B18" s="54">
        <f>Расчеты!I169</f>
        <v>200</v>
      </c>
      <c r="C18" s="54">
        <f>Расчеты!U169</f>
        <v>0</v>
      </c>
      <c r="D18" s="54">
        <f>Расчеты!AG169</f>
        <v>0</v>
      </c>
      <c r="E18" s="54">
        <f>Расчеты!AS169</f>
        <v>0</v>
      </c>
    </row>
    <row r="19" spans="1:5" x14ac:dyDescent="0.35">
      <c r="A19" s="84" t="s">
        <v>150</v>
      </c>
      <c r="B19" s="54">
        <f>Расчеты!I170</f>
        <v>200</v>
      </c>
      <c r="C19" s="54">
        <f>Расчеты!U170</f>
        <v>200</v>
      </c>
      <c r="D19" s="54">
        <f>Расчеты!AG170</f>
        <v>200</v>
      </c>
      <c r="E19" s="54">
        <f>Расчеты!AS170</f>
        <v>200</v>
      </c>
    </row>
  </sheetData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0"/>
  <sheetViews>
    <sheetView topLeftCell="C34" zoomScale="145" zoomScaleNormal="145" workbookViewId="0">
      <selection activeCell="N94" sqref="N94"/>
    </sheetView>
  </sheetViews>
  <sheetFormatPr defaultRowHeight="14.5" x14ac:dyDescent="0.35"/>
  <cols>
    <col min="1" max="1" width="43.453125" style="86" bestFit="1" customWidth="1"/>
    <col min="2" max="2" width="10" style="86" bestFit="1" customWidth="1"/>
  </cols>
  <sheetData>
    <row r="1" spans="1:15" x14ac:dyDescent="0.35">
      <c r="A1" s="84"/>
      <c r="B1" s="84"/>
      <c r="C1" s="72">
        <v>46023</v>
      </c>
      <c r="D1" s="72">
        <v>46054</v>
      </c>
      <c r="E1" s="72">
        <v>46082</v>
      </c>
      <c r="F1" s="72">
        <v>46113</v>
      </c>
      <c r="G1" s="72">
        <v>46143</v>
      </c>
      <c r="H1" s="72">
        <v>46174</v>
      </c>
      <c r="I1" s="72">
        <v>46204</v>
      </c>
      <c r="J1" s="72">
        <v>46235</v>
      </c>
      <c r="K1" s="72">
        <v>46266</v>
      </c>
      <c r="L1" s="72">
        <v>46296</v>
      </c>
      <c r="M1" s="72">
        <v>46327</v>
      </c>
      <c r="N1" s="72">
        <v>46357</v>
      </c>
      <c r="O1" s="50"/>
    </row>
    <row r="2" spans="1:15" x14ac:dyDescent="0.35">
      <c r="A2" s="84" t="s">
        <v>200</v>
      </c>
      <c r="B2" s="84" t="s">
        <v>42</v>
      </c>
      <c r="C2" s="53">
        <f ca="1">Расчеты!J3</f>
        <v>50</v>
      </c>
      <c r="D2" s="53">
        <f ca="1">Расчеты!K3</f>
        <v>50.5</v>
      </c>
      <c r="E2" s="53">
        <f ca="1">Расчеты!L3</f>
        <v>51.005000000000003</v>
      </c>
      <c r="F2" s="53">
        <f ca="1">Расчеты!M3</f>
        <v>51.515050000000002</v>
      </c>
      <c r="G2" s="53">
        <f ca="1">Расчеты!N3</f>
        <v>52.030200499999999</v>
      </c>
      <c r="H2" s="53">
        <f ca="1">Расчеты!O3</f>
        <v>52.550502504999997</v>
      </c>
      <c r="I2" s="53">
        <f ca="1">Расчеты!P3</f>
        <v>53.076007530049999</v>
      </c>
      <c r="J2" s="53">
        <f ca="1">Расчеты!Q3</f>
        <v>53.606767605350498</v>
      </c>
      <c r="K2" s="53">
        <f ca="1">Расчеты!R3</f>
        <v>54.142835281404004</v>
      </c>
      <c r="L2" s="53">
        <f ca="1">Расчеты!S3</f>
        <v>54.684263634218041</v>
      </c>
      <c r="M2" s="53">
        <f ca="1">Расчеты!T3</f>
        <v>55.231106270560218</v>
      </c>
      <c r="N2" s="53">
        <f ca="1">Расчеты!U3</f>
        <v>55.783417333265824</v>
      </c>
    </row>
    <row r="3" spans="1:15" x14ac:dyDescent="0.35">
      <c r="A3" s="84" t="s">
        <v>201</v>
      </c>
      <c r="B3" s="84" t="s">
        <v>42</v>
      </c>
      <c r="C3" s="53">
        <f ca="1">Расчеты!J7</f>
        <v>50</v>
      </c>
      <c r="D3" s="53">
        <f ca="1">Расчеты!K7</f>
        <v>50.5</v>
      </c>
      <c r="E3" s="53">
        <f ca="1">Расчеты!L7</f>
        <v>51.005000000000003</v>
      </c>
      <c r="F3" s="53">
        <f ca="1">Расчеты!M7</f>
        <v>51.515050000000002</v>
      </c>
      <c r="G3" s="53">
        <f ca="1">Расчеты!N7</f>
        <v>104.060401</v>
      </c>
      <c r="H3" s="53">
        <f ca="1">Расчеты!O7</f>
        <v>52.550502504999997</v>
      </c>
      <c r="I3" s="53">
        <f ca="1">Расчеты!P7</f>
        <v>53.076007530049999</v>
      </c>
      <c r="J3" s="53">
        <f ca="1">Расчеты!Q7</f>
        <v>80.41015140802574</v>
      </c>
      <c r="K3" s="53">
        <f ca="1">Расчеты!R7</f>
        <v>54.142835281404004</v>
      </c>
      <c r="L3" s="53">
        <f ca="1">Расчеты!S7</f>
        <v>54.684263634218041</v>
      </c>
      <c r="M3" s="53">
        <f ca="1">Расчеты!T7</f>
        <v>55.231106270560218</v>
      </c>
      <c r="N3" s="53">
        <f ca="1">Расчеты!U7</f>
        <v>111.56683466653165</v>
      </c>
    </row>
    <row r="4" spans="1:15" x14ac:dyDescent="0.35">
      <c r="A4" s="84" t="s">
        <v>78</v>
      </c>
      <c r="B4" s="84" t="s">
        <v>26</v>
      </c>
      <c r="C4" s="53">
        <f ca="1">Расчеты!J9</f>
        <v>100</v>
      </c>
      <c r="D4" s="53">
        <f ca="1">Расчеты!K9</f>
        <v>100.3</v>
      </c>
      <c r="E4" s="53">
        <f ca="1">Расчеты!L9</f>
        <v>100.6009</v>
      </c>
      <c r="F4" s="53">
        <f ca="1">Расчеты!M9</f>
        <v>100.90270269999999</v>
      </c>
      <c r="G4" s="53">
        <f ca="1">Расчеты!N9</f>
        <v>101.2054108081</v>
      </c>
      <c r="H4" s="53">
        <f ca="1">Расчеты!O9</f>
        <v>101.5090270405243</v>
      </c>
      <c r="I4" s="53">
        <f ca="1">Расчеты!P9</f>
        <v>101.81355412164588</v>
      </c>
      <c r="J4" s="53">
        <f ca="1">Расчеты!Q9</f>
        <v>102.11899478401082</v>
      </c>
      <c r="K4" s="53">
        <f ca="1">Расчеты!R9</f>
        <v>102.42535176836286</v>
      </c>
      <c r="L4" s="53">
        <f ca="1">Расчеты!S9</f>
        <v>102.73262782366795</v>
      </c>
      <c r="M4" s="53">
        <f ca="1">Расчеты!T9</f>
        <v>103.04082570713896</v>
      </c>
      <c r="N4" s="53">
        <f ca="1">Расчеты!U9</f>
        <v>103.34994818426038</v>
      </c>
    </row>
    <row r="20" spans="1:14" x14ac:dyDescent="0.35">
      <c r="A20" s="84"/>
      <c r="B20" s="84"/>
      <c r="C20" s="72">
        <v>46023</v>
      </c>
      <c r="D20" s="72">
        <v>46054</v>
      </c>
      <c r="E20" s="72">
        <v>46082</v>
      </c>
      <c r="F20" s="72">
        <v>46113</v>
      </c>
      <c r="G20" s="72">
        <v>46143</v>
      </c>
      <c r="H20" s="72">
        <v>46174</v>
      </c>
      <c r="I20" s="72">
        <v>46204</v>
      </c>
      <c r="J20" s="72">
        <v>46235</v>
      </c>
      <c r="K20" s="72">
        <v>46266</v>
      </c>
      <c r="L20" s="72">
        <v>46296</v>
      </c>
      <c r="M20" s="72">
        <v>46327</v>
      </c>
      <c r="N20" s="72">
        <v>46357</v>
      </c>
    </row>
    <row r="21" spans="1:14" x14ac:dyDescent="0.35">
      <c r="A21" s="84" t="s">
        <v>83</v>
      </c>
      <c r="B21" s="84"/>
      <c r="C21" s="53">
        <f ca="1">Расчеты!J18</f>
        <v>208.33333333333337</v>
      </c>
      <c r="D21" s="53">
        <f ca="1">Расчеты!K18</f>
        <v>211.04791666666665</v>
      </c>
      <c r="E21" s="53">
        <f ca="1">Расчеты!L18</f>
        <v>213.79787102083338</v>
      </c>
      <c r="F21" s="53">
        <f ca="1">Расчеты!M18</f>
        <v>216.58365728023477</v>
      </c>
      <c r="G21" s="53">
        <f ca="1">Расчеты!N18</f>
        <v>438.81148466919262</v>
      </c>
      <c r="H21" s="53">
        <f ca="1">Расчеты!O18</f>
        <v>222.26459915721603</v>
      </c>
      <c r="I21" s="53">
        <f ca="1">Расчеты!P18</f>
        <v>225.16070688423457</v>
      </c>
      <c r="J21" s="53">
        <f ca="1">Расчеты!Q18</f>
        <v>342.14182634240427</v>
      </c>
      <c r="K21" s="53">
        <f ca="1">Расчеты!R18</f>
        <v>231.06662289309722</v>
      </c>
      <c r="L21" s="53">
        <f ca="1">Расчеты!S18</f>
        <v>234.07742098939426</v>
      </c>
      <c r="M21" s="53">
        <f ca="1">Расчеты!T18</f>
        <v>237.12744978488604</v>
      </c>
      <c r="N21" s="53">
        <f ca="1">Расчеты!U18</f>
        <v>480.43444091116635</v>
      </c>
    </row>
    <row r="22" spans="1:14" x14ac:dyDescent="0.35">
      <c r="A22" s="84" t="s">
        <v>84</v>
      </c>
      <c r="B22" s="84"/>
      <c r="C22" s="53">
        <f ca="1">Расчеты!J25</f>
        <v>138.94270833333337</v>
      </c>
      <c r="D22" s="53">
        <f ca="1">Расчеты!K25</f>
        <v>140.96338541666665</v>
      </c>
      <c r="E22" s="53">
        <f ca="1">Расчеты!L25</f>
        <v>143.01249445833338</v>
      </c>
      <c r="F22" s="53">
        <f ca="1">Расчеты!M25</f>
        <v>145.09042695210979</v>
      </c>
      <c r="G22" s="53">
        <f ca="1">Расчеты!N25</f>
        <v>294.39515940638012</v>
      </c>
      <c r="H22" s="53">
        <f ca="1">Расчеты!O25</f>
        <v>149.33435489949571</v>
      </c>
      <c r="I22" s="53">
        <f ca="1">Расчеты!P25</f>
        <v>151.50116018393706</v>
      </c>
      <c r="J22" s="53">
        <f ca="1">Расчеты!Q25</f>
        <v>230.54761309145357</v>
      </c>
      <c r="K22" s="53">
        <f ca="1">Расчеты!R25</f>
        <v>155.92651930412376</v>
      </c>
      <c r="L22" s="53">
        <f ca="1">Расчеты!S25</f>
        <v>158.18591636453101</v>
      </c>
      <c r="M22" s="53">
        <f ca="1">Расчеты!T25</f>
        <v>160.47703011377419</v>
      </c>
      <c r="N22" s="53">
        <f ca="1">Расчеты!U25</f>
        <v>325.60059317552043</v>
      </c>
    </row>
    <row r="23" spans="1:14" x14ac:dyDescent="0.35">
      <c r="A23" s="84" t="s">
        <v>202</v>
      </c>
      <c r="B23" s="84"/>
      <c r="C23" s="53">
        <f ca="1">Расчеты!J30</f>
        <v>21.684087643678197</v>
      </c>
      <c r="D23" s="53">
        <f ca="1">Расчеты!K30</f>
        <v>23.704764727011479</v>
      </c>
      <c r="E23" s="53">
        <f ca="1">Расчеты!L30</f>
        <v>25.753873768678204</v>
      </c>
      <c r="F23" s="53">
        <f ca="1">Расчеты!M30</f>
        <v>27.83180626245462</v>
      </c>
      <c r="G23" s="53">
        <f ca="1">Расчеты!N30</f>
        <v>177.13653871672494</v>
      </c>
      <c r="H23" s="53">
        <f ca="1">Расчеты!O30</f>
        <v>32.075734209840533</v>
      </c>
      <c r="I23" s="53">
        <f ca="1">Расчеты!P30</f>
        <v>34.242539494281885</v>
      </c>
      <c r="J23" s="53">
        <f ca="1">Расчеты!Q30</f>
        <v>113.2889924017984</v>
      </c>
      <c r="K23" s="53">
        <f ca="1">Расчеты!R30</f>
        <v>38.667898614468584</v>
      </c>
      <c r="L23" s="53">
        <f ca="1">Расчеты!S30</f>
        <v>40.927295674875836</v>
      </c>
      <c r="M23" s="53">
        <f ca="1">Расчеты!T30</f>
        <v>43.218409424119017</v>
      </c>
      <c r="N23" s="53">
        <f ca="1">Расчеты!U30</f>
        <v>208.34197248586526</v>
      </c>
    </row>
    <row r="24" spans="1:14" x14ac:dyDescent="0.35">
      <c r="A24" s="84" t="s">
        <v>88</v>
      </c>
      <c r="B24" s="84"/>
      <c r="C24" s="53">
        <f ca="1">Расчеты!J34</f>
        <v>6.6840876436781969</v>
      </c>
      <c r="D24" s="53">
        <f ca="1">Расчеты!K34</f>
        <v>8.7047647270114794</v>
      </c>
      <c r="E24" s="53">
        <f ca="1">Расчеты!L34</f>
        <v>10.753873768678204</v>
      </c>
      <c r="F24" s="53">
        <f ca="1">Расчеты!M34</f>
        <v>12.83180626245462</v>
      </c>
      <c r="G24" s="53">
        <f ca="1">Расчеты!N34</f>
        <v>151.91432449301544</v>
      </c>
      <c r="H24" s="53">
        <f ca="1">Расчеты!O34</f>
        <v>13.660587367872427</v>
      </c>
      <c r="I24" s="53">
        <f ca="1">Расчеты!P34</f>
        <v>15.394031595425508</v>
      </c>
      <c r="J24" s="53">
        <f ca="1">Расчеты!Q34</f>
        <v>78.631193921438722</v>
      </c>
      <c r="K24" s="53">
        <f ca="1">Расчеты!R34</f>
        <v>18.934318891574868</v>
      </c>
      <c r="L24" s="53">
        <f ca="1">Расчеты!S34</f>
        <v>20.741836539900667</v>
      </c>
      <c r="M24" s="53">
        <f ca="1">Расчеты!T34</f>
        <v>22.574727539295214</v>
      </c>
      <c r="N24" s="53">
        <f ca="1">Расчеты!U34</f>
        <v>154.67357798869222</v>
      </c>
    </row>
    <row r="40" spans="1:2" x14ac:dyDescent="0.35">
      <c r="A40" s="84"/>
      <c r="B40" s="72">
        <v>46357</v>
      </c>
    </row>
    <row r="41" spans="1:2" x14ac:dyDescent="0.35">
      <c r="A41" s="84" t="s">
        <v>138</v>
      </c>
      <c r="B41" s="54">
        <f ca="1">'Баланс по годам'!C5</f>
        <v>0</v>
      </c>
    </row>
    <row r="42" spans="1:2" x14ac:dyDescent="0.35">
      <c r="A42" s="84" t="s">
        <v>140</v>
      </c>
      <c r="B42" s="54">
        <f>'Баланс по годам'!C7</f>
        <v>0</v>
      </c>
    </row>
    <row r="43" spans="1:2" x14ac:dyDescent="0.35">
      <c r="A43" s="84" t="s">
        <v>141</v>
      </c>
      <c r="B43" s="54">
        <f>'Баланс по годам'!C8</f>
        <v>0</v>
      </c>
    </row>
    <row r="44" spans="1:2" x14ac:dyDescent="0.35">
      <c r="A44" s="84" t="s">
        <v>142</v>
      </c>
      <c r="B44" s="54">
        <f ca="1">'Баланс по годам'!C9</f>
        <v>1365.4991307390378</v>
      </c>
    </row>
    <row r="45" spans="1:2" x14ac:dyDescent="0.35">
      <c r="B45" s="30"/>
    </row>
    <row r="53" spans="1:14" x14ac:dyDescent="0.35">
      <c r="A53" s="84" t="s">
        <v>145</v>
      </c>
      <c r="B53" s="85">
        <f>'Баланс по годам'!C13</f>
        <v>800</v>
      </c>
    </row>
    <row r="54" spans="1:14" x14ac:dyDescent="0.35">
      <c r="A54" s="84" t="s">
        <v>146</v>
      </c>
      <c r="B54" s="85">
        <f ca="1">'Баланс по годам'!C14</f>
        <v>365.49913073903758</v>
      </c>
    </row>
    <row r="55" spans="1:14" x14ac:dyDescent="0.35">
      <c r="A55" s="84" t="s">
        <v>148</v>
      </c>
      <c r="B55" s="85">
        <f>'Баланс по годам'!C16</f>
        <v>0</v>
      </c>
    </row>
    <row r="56" spans="1:14" x14ac:dyDescent="0.35">
      <c r="A56" s="84" t="s">
        <v>148</v>
      </c>
      <c r="B56" s="85">
        <f>'Баланс по годам'!C18</f>
        <v>0</v>
      </c>
    </row>
    <row r="57" spans="1:14" x14ac:dyDescent="0.35">
      <c r="A57" s="84" t="s">
        <v>150</v>
      </c>
      <c r="B57" s="85">
        <f>'Баланс по годам'!C19</f>
        <v>200</v>
      </c>
    </row>
    <row r="60" spans="1:14" x14ac:dyDescent="0.35">
      <c r="C60" s="111">
        <v>46023</v>
      </c>
      <c r="D60" s="111">
        <v>46054</v>
      </c>
      <c r="E60" s="111">
        <v>46082</v>
      </c>
      <c r="F60" s="111">
        <v>46113</v>
      </c>
      <c r="G60" s="111">
        <v>46143</v>
      </c>
      <c r="H60" s="111">
        <v>46174</v>
      </c>
      <c r="I60" s="111">
        <v>46204</v>
      </c>
      <c r="J60" s="111">
        <v>46235</v>
      </c>
      <c r="K60" s="111">
        <v>46266</v>
      </c>
      <c r="L60" s="111">
        <v>46296</v>
      </c>
      <c r="M60" s="111">
        <v>46327</v>
      </c>
      <c r="N60" s="111">
        <v>46357</v>
      </c>
    </row>
    <row r="61" spans="1:14" x14ac:dyDescent="0.35">
      <c r="A61" s="103" t="s">
        <v>203</v>
      </c>
      <c r="B61" s="103" t="s">
        <v>14</v>
      </c>
      <c r="C61" s="104">
        <f ca="1">Расчеты!J194</f>
        <v>891.68408764367814</v>
      </c>
      <c r="D61" s="104">
        <f ca="1">Расчеты!K194</f>
        <v>915.38885237068962</v>
      </c>
      <c r="E61" s="104">
        <f ca="1">Расчеты!L194</f>
        <v>941.14272613936782</v>
      </c>
      <c r="F61" s="104">
        <f ca="1">Расчеты!M194</f>
        <v>968.97453240182244</v>
      </c>
      <c r="G61" s="104">
        <f ca="1">Расчеты!N194</f>
        <v>1135.8888568948378</v>
      </c>
      <c r="H61" s="104">
        <f ca="1">Расчеты!O194</f>
        <v>1164.5494442627103</v>
      </c>
      <c r="I61" s="104">
        <f ca="1">Расчеты!P194</f>
        <v>994.9434758581358</v>
      </c>
      <c r="J61" s="104">
        <f ca="1">Расчеты!Q194</f>
        <v>1088.5746697795746</v>
      </c>
      <c r="K61" s="104">
        <f ca="1">Расчеты!R194</f>
        <v>1122.5089886711494</v>
      </c>
      <c r="L61" s="104">
        <f ca="1">Расчеты!S194</f>
        <v>1158.2508252110501</v>
      </c>
      <c r="M61" s="104">
        <f ca="1">Расчеты!T194</f>
        <v>1195.8255527503454</v>
      </c>
      <c r="N61" s="104">
        <f ca="1">Расчеты!U194</f>
        <v>1365.4991307390376</v>
      </c>
    </row>
    <row r="64" spans="1:14" x14ac:dyDescent="0.35">
      <c r="A64" s="102" t="s">
        <v>204</v>
      </c>
      <c r="B64" s="113"/>
      <c r="C64" s="103" t="s">
        <v>205</v>
      </c>
      <c r="D64" s="103" t="s">
        <v>206</v>
      </c>
    </row>
    <row r="65" spans="1:7" x14ac:dyDescent="0.35">
      <c r="A65" s="103" t="s">
        <v>83</v>
      </c>
      <c r="B65" s="108">
        <f ca="1">'За 3 года на одном листе'!F73</f>
        <v>1</v>
      </c>
      <c r="C65" s="108">
        <v>0</v>
      </c>
      <c r="D65" s="108">
        <f ca="1">B65</f>
        <v>1</v>
      </c>
    </row>
    <row r="66" spans="1:7" x14ac:dyDescent="0.35">
      <c r="A66" s="103" t="s">
        <v>24</v>
      </c>
      <c r="B66" s="108">
        <f ca="1">'За 3 года на одном листе'!F74</f>
        <v>-0.33557665213643578</v>
      </c>
      <c r="C66" s="108">
        <f ca="1">SUM($B$65:B65)+MIN(B66,0)</f>
        <v>0.66442334786356416</v>
      </c>
      <c r="D66" s="108">
        <f ca="1">ABS(B66)</f>
        <v>0.33557665213643578</v>
      </c>
    </row>
    <row r="67" spans="1:7" x14ac:dyDescent="0.35">
      <c r="A67" s="103" t="s">
        <v>51</v>
      </c>
      <c r="B67" s="108">
        <f ca="1">'За 3 года на одном листе'!F81</f>
        <v>-0.31972740728730853</v>
      </c>
      <c r="C67" s="108">
        <f ca="1">SUM($B$65:B66)+MIN(B67,0)</f>
        <v>0.34469594057625563</v>
      </c>
      <c r="D67" s="108">
        <f ca="1">ABS(B67)</f>
        <v>0.31972740728730853</v>
      </c>
    </row>
    <row r="68" spans="1:7" x14ac:dyDescent="0.35">
      <c r="A68" s="103" t="s">
        <v>86</v>
      </c>
      <c r="B68" s="108">
        <f ca="1">'За 3 года на одном листе'!F86</f>
        <v>-4.0458211076217769E-2</v>
      </c>
      <c r="C68" s="108">
        <f ca="1">SUM($B$65:B67)+MIN(B68,0)</f>
        <v>0.30423772950003786</v>
      </c>
      <c r="D68" s="108">
        <f ca="1">ABS(B68)</f>
        <v>4.0458211076217769E-2</v>
      </c>
    </row>
    <row r="69" spans="1:7" x14ac:dyDescent="0.35">
      <c r="A69" s="103" t="s">
        <v>70</v>
      </c>
      <c r="B69" s="108">
        <f ca="1">'За 3 года на одном листе'!F88</f>
        <v>-6.0847545900007564E-2</v>
      </c>
      <c r="C69" s="108">
        <f ca="1">SUM($B$65:B68)+MIN(B69,0)</f>
        <v>0.24339018360003029</v>
      </c>
      <c r="D69" s="108">
        <f ca="1">ABS(B69)</f>
        <v>6.0847545900007564E-2</v>
      </c>
    </row>
    <row r="70" spans="1:7" x14ac:dyDescent="0.35">
      <c r="A70" s="103" t="s">
        <v>88</v>
      </c>
      <c r="B70" s="108">
        <f ca="1">-'За 3 года на одном листе'!F89</f>
        <v>-0.24339018360003026</v>
      </c>
      <c r="C70" s="108">
        <v>0</v>
      </c>
      <c r="D70" s="108">
        <f ca="1">ABS(B70)</f>
        <v>0.24339018360003026</v>
      </c>
      <c r="G70">
        <f ca="1">'За 3 года на одном листе'!F89</f>
        <v>0.24339018360003026</v>
      </c>
    </row>
  </sheetData>
  <pageMargins left="0.7" right="0.7" top="0.75" bottom="0.75" header="0.3" footer="0.3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1"/>
  <sheetViews>
    <sheetView tabSelected="1" topLeftCell="A4" workbookViewId="0">
      <selection activeCell="J55" sqref="J55"/>
    </sheetView>
  </sheetViews>
  <sheetFormatPr defaultRowHeight="14.5" x14ac:dyDescent="0.35"/>
  <cols>
    <col min="1" max="1" width="83.453125" customWidth="1"/>
    <col min="2" max="2" width="8.54296875" bestFit="1" customWidth="1"/>
    <col min="3" max="3" width="8.453125" bestFit="1" customWidth="1"/>
    <col min="4" max="4" width="8.36328125" bestFit="1" customWidth="1"/>
    <col min="5" max="5" width="8.6328125" bestFit="1" customWidth="1"/>
    <col min="6" max="6" width="8.81640625" bestFit="1" customWidth="1"/>
    <col min="7" max="7" width="8.453125" bestFit="1" customWidth="1"/>
    <col min="8" max="8" width="8.81640625" bestFit="1" customWidth="1"/>
    <col min="9" max="10" width="9" bestFit="1" customWidth="1"/>
    <col min="11" max="11" width="8" bestFit="1" customWidth="1"/>
    <col min="12" max="13" width="8.1796875" bestFit="1" customWidth="1"/>
    <col min="14" max="15" width="8.453125" bestFit="1" customWidth="1"/>
    <col min="16" max="16" width="8.36328125" bestFit="1" customWidth="1"/>
    <col min="17" max="17" width="8.6328125" bestFit="1" customWidth="1"/>
    <col min="18" max="18" width="8.81640625" bestFit="1" customWidth="1"/>
    <col min="19" max="19" width="8.453125" bestFit="1" customWidth="1"/>
    <col min="20" max="20" width="8.81640625" bestFit="1" customWidth="1"/>
    <col min="21" max="22" width="9" bestFit="1" customWidth="1"/>
    <col min="23" max="23" width="8" bestFit="1" customWidth="1"/>
    <col min="24" max="25" width="8.1796875" bestFit="1" customWidth="1"/>
    <col min="26" max="27" width="8.453125" bestFit="1" customWidth="1"/>
    <col min="28" max="28" width="8.36328125" bestFit="1" customWidth="1"/>
    <col min="29" max="29" width="8.6328125" bestFit="1" customWidth="1"/>
    <col min="30" max="30" width="8.81640625" bestFit="1" customWidth="1"/>
    <col min="31" max="31" width="8.453125" bestFit="1" customWidth="1"/>
    <col min="32" max="32" width="8.81640625" bestFit="1" customWidth="1"/>
    <col min="33" max="34" width="9" bestFit="1" customWidth="1"/>
    <col min="35" max="35" width="8" bestFit="1" customWidth="1"/>
    <col min="36" max="37" width="8.1796875" bestFit="1" customWidth="1"/>
    <col min="38" max="39" width="8.453125" bestFit="1" customWidth="1"/>
  </cols>
  <sheetData>
    <row r="1" spans="1:39" ht="21" x14ac:dyDescent="0.5">
      <c r="A1" s="100" t="s">
        <v>261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</row>
    <row r="2" spans="1:39" x14ac:dyDescent="0.35">
      <c r="A2" s="86"/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</row>
    <row r="3" spans="1:39" x14ac:dyDescent="0.35">
      <c r="A3" s="129" t="s">
        <v>207</v>
      </c>
      <c r="B3" s="129" t="s">
        <v>14</v>
      </c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129"/>
      <c r="AK3" s="129"/>
      <c r="AL3" s="129"/>
      <c r="AM3" s="129"/>
    </row>
    <row r="4" spans="1:39" x14ac:dyDescent="0.35">
      <c r="A4" s="138" t="s">
        <v>208</v>
      </c>
      <c r="B4" s="139"/>
      <c r="C4" s="140">
        <v>0</v>
      </c>
      <c r="D4" s="140">
        <v>1</v>
      </c>
      <c r="E4" s="140">
        <v>2</v>
      </c>
      <c r="F4" s="140">
        <v>3</v>
      </c>
      <c r="G4" s="140">
        <v>4</v>
      </c>
      <c r="H4" s="140">
        <v>5</v>
      </c>
      <c r="I4" s="140">
        <v>6</v>
      </c>
      <c r="J4" s="140">
        <v>7</v>
      </c>
      <c r="K4" s="140">
        <v>8</v>
      </c>
      <c r="L4" s="140">
        <v>9</v>
      </c>
      <c r="M4" s="140">
        <v>10</v>
      </c>
      <c r="N4" s="140">
        <v>11</v>
      </c>
      <c r="O4" s="140">
        <v>12</v>
      </c>
      <c r="P4" s="140">
        <v>13</v>
      </c>
      <c r="Q4" s="140">
        <v>14</v>
      </c>
      <c r="R4" s="140">
        <v>15</v>
      </c>
      <c r="S4" s="140">
        <v>16</v>
      </c>
      <c r="T4" s="140">
        <v>17</v>
      </c>
      <c r="U4" s="140">
        <v>18</v>
      </c>
      <c r="V4" s="140">
        <v>19</v>
      </c>
      <c r="W4" s="140">
        <v>20</v>
      </c>
      <c r="X4" s="140">
        <v>21</v>
      </c>
      <c r="Y4" s="140">
        <v>22</v>
      </c>
      <c r="Z4" s="140">
        <v>23</v>
      </c>
      <c r="AA4" s="140">
        <v>24</v>
      </c>
      <c r="AB4" s="140">
        <v>25</v>
      </c>
      <c r="AC4" s="140">
        <v>26</v>
      </c>
      <c r="AD4" s="140">
        <v>27</v>
      </c>
      <c r="AE4" s="140">
        <v>28</v>
      </c>
      <c r="AF4" s="140">
        <v>29</v>
      </c>
      <c r="AG4" s="140">
        <v>30</v>
      </c>
      <c r="AH4" s="140">
        <v>31</v>
      </c>
      <c r="AI4" s="140">
        <v>32</v>
      </c>
      <c r="AJ4" s="140">
        <v>33</v>
      </c>
      <c r="AK4" s="140">
        <v>34</v>
      </c>
      <c r="AL4" s="140">
        <v>35</v>
      </c>
      <c r="AM4" s="140">
        <v>36</v>
      </c>
    </row>
    <row r="5" spans="1:39" x14ac:dyDescent="0.35">
      <c r="A5" s="138" t="s">
        <v>209</v>
      </c>
      <c r="B5" s="139"/>
      <c r="C5" s="141">
        <f>Расчеты!I1</f>
        <v>45992</v>
      </c>
      <c r="D5" s="141">
        <f>Расчеты!J1</f>
        <v>46023</v>
      </c>
      <c r="E5" s="141">
        <f>Расчеты!K1</f>
        <v>46054</v>
      </c>
      <c r="F5" s="141">
        <f>Расчеты!L1</f>
        <v>46082</v>
      </c>
      <c r="G5" s="141">
        <f>Расчеты!M1</f>
        <v>46113</v>
      </c>
      <c r="H5" s="141">
        <f>Расчеты!N1</f>
        <v>46143</v>
      </c>
      <c r="I5" s="141">
        <f>Расчеты!O1</f>
        <v>46174</v>
      </c>
      <c r="J5" s="141">
        <f>Расчеты!P1</f>
        <v>46204</v>
      </c>
      <c r="K5" s="141">
        <f>Расчеты!Q1</f>
        <v>46235</v>
      </c>
      <c r="L5" s="141">
        <f>Расчеты!R1</f>
        <v>46266</v>
      </c>
      <c r="M5" s="141">
        <f>Расчеты!S1</f>
        <v>46296</v>
      </c>
      <c r="N5" s="141">
        <f>Расчеты!T1</f>
        <v>46327</v>
      </c>
      <c r="O5" s="141">
        <f>Расчеты!U1</f>
        <v>46357</v>
      </c>
      <c r="P5" s="141">
        <f>Расчеты!V1</f>
        <v>46388</v>
      </c>
      <c r="Q5" s="141">
        <f>Расчеты!W1</f>
        <v>46419</v>
      </c>
      <c r="R5" s="141">
        <f>Расчеты!X1</f>
        <v>46447</v>
      </c>
      <c r="S5" s="141">
        <f>Расчеты!Y1</f>
        <v>46478</v>
      </c>
      <c r="T5" s="141">
        <f>Расчеты!Z1</f>
        <v>46508</v>
      </c>
      <c r="U5" s="141">
        <f>Расчеты!AA1</f>
        <v>46539</v>
      </c>
      <c r="V5" s="141">
        <f>Расчеты!AB1</f>
        <v>46569</v>
      </c>
      <c r="W5" s="141">
        <f>Расчеты!AC1</f>
        <v>46600</v>
      </c>
      <c r="X5" s="141">
        <f>Расчеты!AD1</f>
        <v>46631</v>
      </c>
      <c r="Y5" s="141">
        <f>Расчеты!AE1</f>
        <v>46661</v>
      </c>
      <c r="Z5" s="141">
        <f>Расчеты!AF1</f>
        <v>46692</v>
      </c>
      <c r="AA5" s="141">
        <f>Расчеты!AG1</f>
        <v>46722</v>
      </c>
      <c r="AB5" s="141">
        <f>Расчеты!AH1</f>
        <v>46753</v>
      </c>
      <c r="AC5" s="141">
        <f>Расчеты!AI1</f>
        <v>46784</v>
      </c>
      <c r="AD5" s="141">
        <f>Расчеты!AJ1</f>
        <v>46813</v>
      </c>
      <c r="AE5" s="141">
        <f>Расчеты!AK1</f>
        <v>46844</v>
      </c>
      <c r="AF5" s="141">
        <f>Расчеты!AL1</f>
        <v>46874</v>
      </c>
      <c r="AG5" s="141">
        <f>Расчеты!AM1</f>
        <v>46905</v>
      </c>
      <c r="AH5" s="141">
        <f>Расчеты!AN1</f>
        <v>46935</v>
      </c>
      <c r="AI5" s="141">
        <f>Расчеты!AO1</f>
        <v>46966</v>
      </c>
      <c r="AJ5" s="141">
        <f>Расчеты!AP1</f>
        <v>46997</v>
      </c>
      <c r="AK5" s="141">
        <f>Расчеты!AQ1</f>
        <v>47027</v>
      </c>
      <c r="AL5" s="141">
        <f>Расчеты!AR1</f>
        <v>47058</v>
      </c>
      <c r="AM5" s="141">
        <f>Расчеты!AS1</f>
        <v>47088</v>
      </c>
    </row>
    <row r="6" spans="1:39" x14ac:dyDescent="0.35">
      <c r="A6" s="96" t="s">
        <v>159</v>
      </c>
      <c r="B6" s="86"/>
      <c r="C6" s="117">
        <f>Расчеты!I181</f>
        <v>0</v>
      </c>
      <c r="D6" s="117">
        <f ca="1">Расчеты!J181</f>
        <v>21.684087643678161</v>
      </c>
      <c r="E6" s="117">
        <f ca="1">Расчеты!K181</f>
        <v>23.70476472701149</v>
      </c>
      <c r="F6" s="117">
        <f ca="1">Расчеты!L181</f>
        <v>25.75387376867819</v>
      </c>
      <c r="G6" s="117">
        <f ca="1">Расчеты!M181</f>
        <v>27.831806262454613</v>
      </c>
      <c r="H6" s="117">
        <f ca="1">Расчеты!N181</f>
        <v>166.91432449301539</v>
      </c>
      <c r="I6" s="117">
        <f ca="1">Расчеты!O181</f>
        <v>28.660587367872477</v>
      </c>
      <c r="J6" s="117">
        <f ca="1">Расчеты!P181</f>
        <v>30.394031595425481</v>
      </c>
      <c r="K6" s="117">
        <f ca="1">Расчеты!Q181</f>
        <v>93.631193921438722</v>
      </c>
      <c r="L6" s="117">
        <f ca="1">Расчеты!R181</f>
        <v>33.934318891574812</v>
      </c>
      <c r="M6" s="117">
        <f ca="1">Расчеты!S181</f>
        <v>35.741836539900667</v>
      </c>
      <c r="N6" s="117">
        <f ca="1">Расчеты!T181</f>
        <v>37.574727539295225</v>
      </c>
      <c r="O6" s="117">
        <f ca="1">Расчеты!U181</f>
        <v>169.67357798869222</v>
      </c>
      <c r="P6" s="117">
        <f ca="1">Расчеты!V181</f>
        <v>37.701654159611692</v>
      </c>
      <c r="Q6" s="117">
        <f ca="1">Расчеты!W181</f>
        <v>39.581613402756673</v>
      </c>
      <c r="R6" s="117">
        <f ca="1">Расчеты!X181</f>
        <v>41.488058293113511</v>
      </c>
      <c r="S6" s="117">
        <f ca="1">Расчеты!Y181</f>
        <v>43.421353836448318</v>
      </c>
      <c r="T6" s="117">
        <f ca="1">Расчеты!Z181</f>
        <v>182.07063653878382</v>
      </c>
      <c r="U6" s="117">
        <f ca="1">Расчеты!AA181</f>
        <v>47.369981746683294</v>
      </c>
      <c r="V6" s="117">
        <f ca="1">Расчеты!AB181</f>
        <v>49.386069167231028</v>
      </c>
      <c r="W6" s="117">
        <f ca="1">Расчеты!AC181</f>
        <v>122.7992245016096</v>
      </c>
      <c r="X6" s="117">
        <f ca="1">Расчеты!AD181</f>
        <v>53.503717151730548</v>
      </c>
      <c r="Y6" s="117">
        <f ca="1">Расчеты!AE181</f>
        <v>55.606063922932179</v>
      </c>
      <c r="Z6" s="117">
        <f ca="1">Расчеты!AF181</f>
        <v>57.737958917309079</v>
      </c>
      <c r="AA6" s="117">
        <f ca="1">Расчеты!AG181</f>
        <v>211.10651394103749</v>
      </c>
      <c r="AB6" s="117">
        <f ca="1">Расчеты!AH181</f>
        <v>57.879834945995583</v>
      </c>
      <c r="AC6" s="117">
        <f ca="1">Расчеты!AI181</f>
        <v>60.06596419059629</v>
      </c>
      <c r="AD6" s="117">
        <f ca="1">Расчеты!AJ181</f>
        <v>62.282932553086042</v>
      </c>
      <c r="AE6" s="117">
        <f ca="1">Расчеты!AK181</f>
        <v>64.531165405709146</v>
      </c>
      <c r="AF6" s="117">
        <f ca="1">Расчеты!AL181</f>
        <v>225.45408434911585</v>
      </c>
      <c r="AG6" s="117">
        <f ca="1">Расчеты!AM181</f>
        <v>69.12315503790299</v>
      </c>
      <c r="AH6" s="117">
        <f ca="1">Расчеты!AN181</f>
        <v>71.467791763490354</v>
      </c>
      <c r="AI6" s="117">
        <f ca="1">Расчеты!AO181</f>
        <v>156.68412782033087</v>
      </c>
      <c r="AJ6" s="117">
        <f ca="1">Расчеты!AP181</f>
        <v>76.256593885373519</v>
      </c>
      <c r="AK6" s="117">
        <f ca="1">Расчеты!AQ181</f>
        <v>78.701675556358083</v>
      </c>
      <c r="AL6" s="117">
        <f ca="1">Расчеты!AR181</f>
        <v>81.18116552792138</v>
      </c>
      <c r="AM6" s="117">
        <f ca="1">Расчеты!AS181</f>
        <v>259.22297180989273</v>
      </c>
    </row>
    <row r="7" spans="1:39" x14ac:dyDescent="0.35">
      <c r="A7" s="96" t="s">
        <v>162</v>
      </c>
      <c r="B7" s="86"/>
      <c r="C7" s="117">
        <f>Расчеты!I185</f>
        <v>0</v>
      </c>
      <c r="D7" s="117">
        <f>Расчеты!J185</f>
        <v>0</v>
      </c>
      <c r="E7" s="117">
        <f>Расчеты!K185</f>
        <v>0</v>
      </c>
      <c r="F7" s="117">
        <f>Расчеты!L185</f>
        <v>0</v>
      </c>
      <c r="G7" s="117">
        <f>Расчеты!M185</f>
        <v>0</v>
      </c>
      <c r="H7" s="117">
        <f>Расчеты!N185</f>
        <v>0</v>
      </c>
      <c r="I7" s="117">
        <f>Расчеты!O185</f>
        <v>0</v>
      </c>
      <c r="J7" s="117">
        <f>Расчеты!P185</f>
        <v>0</v>
      </c>
      <c r="K7" s="117">
        <f>Расчеты!Q185</f>
        <v>0</v>
      </c>
      <c r="L7" s="117">
        <f>Расчеты!R185</f>
        <v>0</v>
      </c>
      <c r="M7" s="117">
        <f>Расчеты!S185</f>
        <v>0</v>
      </c>
      <c r="N7" s="117">
        <f>Расчеты!T185</f>
        <v>0</v>
      </c>
      <c r="O7" s="117">
        <f>Расчеты!U185</f>
        <v>0</v>
      </c>
      <c r="P7" s="117">
        <f ca="1">Расчеты!V185</f>
        <v>-360</v>
      </c>
      <c r="Q7" s="117">
        <f>Расчеты!W185</f>
        <v>0</v>
      </c>
      <c r="R7" s="117">
        <f>Расчеты!X185</f>
        <v>0</v>
      </c>
      <c r="S7" s="117">
        <f>Расчеты!Y185</f>
        <v>0</v>
      </c>
      <c r="T7" s="117">
        <f>Расчеты!Z185</f>
        <v>0</v>
      </c>
      <c r="U7" s="117">
        <f>Расчеты!AA185</f>
        <v>0</v>
      </c>
      <c r="V7" s="117">
        <f>Расчеты!AB185</f>
        <v>0</v>
      </c>
      <c r="W7" s="117">
        <f>Расчеты!AC185</f>
        <v>0</v>
      </c>
      <c r="X7" s="117">
        <f>Расчеты!AD185</f>
        <v>0</v>
      </c>
      <c r="Y7" s="117">
        <f>Расчеты!AE185</f>
        <v>0</v>
      </c>
      <c r="Z7" s="117">
        <f>Расчеты!AF185</f>
        <v>0</v>
      </c>
      <c r="AA7" s="117">
        <f>Расчеты!AG185</f>
        <v>0</v>
      </c>
      <c r="AB7" s="117">
        <f>Расчеты!AH185</f>
        <v>0</v>
      </c>
      <c r="AC7" s="117">
        <f>Расчеты!AI185</f>
        <v>0</v>
      </c>
      <c r="AD7" s="117">
        <f>Расчеты!AJ185</f>
        <v>0</v>
      </c>
      <c r="AE7" s="117">
        <f>Расчеты!AK185</f>
        <v>0</v>
      </c>
      <c r="AF7" s="117">
        <f>Расчеты!AL185</f>
        <v>0</v>
      </c>
      <c r="AG7" s="117">
        <f>Расчеты!AM185</f>
        <v>0</v>
      </c>
      <c r="AH7" s="117">
        <f>Расчеты!AN185</f>
        <v>0</v>
      </c>
      <c r="AI7" s="117">
        <f>Расчеты!AO185</f>
        <v>0</v>
      </c>
      <c r="AJ7" s="117">
        <f>Расчеты!AP185</f>
        <v>0</v>
      </c>
      <c r="AK7" s="117">
        <f>Расчеты!AQ185</f>
        <v>0</v>
      </c>
      <c r="AL7" s="117">
        <f>Расчеты!AR185</f>
        <v>0</v>
      </c>
      <c r="AM7" s="117">
        <f>Расчеты!AS185</f>
        <v>0</v>
      </c>
    </row>
    <row r="8" spans="1:39" x14ac:dyDescent="0.35">
      <c r="A8" s="96" t="s">
        <v>165</v>
      </c>
      <c r="B8" s="86"/>
      <c r="C8" s="117">
        <f>Расчеты!I189</f>
        <v>0</v>
      </c>
      <c r="D8" s="117">
        <f>Расчеты!J189</f>
        <v>0</v>
      </c>
      <c r="E8" s="117">
        <f>Расчеты!K189</f>
        <v>0</v>
      </c>
      <c r="F8" s="117">
        <f>Расчеты!L189</f>
        <v>0</v>
      </c>
      <c r="G8" s="117">
        <f>Расчеты!M189</f>
        <v>0</v>
      </c>
      <c r="H8" s="117">
        <f>Расчеты!N189</f>
        <v>0</v>
      </c>
      <c r="I8" s="117">
        <f>Расчеты!O189</f>
        <v>0</v>
      </c>
      <c r="J8" s="117">
        <f>Расчеты!P189</f>
        <v>-200</v>
      </c>
      <c r="K8" s="117">
        <f>Расчеты!Q189</f>
        <v>0</v>
      </c>
      <c r="L8" s="117">
        <f>Расчеты!R189</f>
        <v>0</v>
      </c>
      <c r="M8" s="117">
        <f>Расчеты!S189</f>
        <v>0</v>
      </c>
      <c r="N8" s="117">
        <f>Расчеты!T189</f>
        <v>0</v>
      </c>
      <c r="O8" s="117">
        <f>Расчеты!U189</f>
        <v>0</v>
      </c>
      <c r="P8" s="117">
        <f>Расчеты!V189</f>
        <v>0</v>
      </c>
      <c r="Q8" s="117">
        <f>Расчеты!W189</f>
        <v>0</v>
      </c>
      <c r="R8" s="117">
        <f>Расчеты!X189</f>
        <v>0</v>
      </c>
      <c r="S8" s="117">
        <f>Расчеты!Y189</f>
        <v>0</v>
      </c>
      <c r="T8" s="117">
        <f>Расчеты!Z189</f>
        <v>0</v>
      </c>
      <c r="U8" s="117">
        <f>Расчеты!AA189</f>
        <v>0</v>
      </c>
      <c r="V8" s="117">
        <f>Расчеты!AB189</f>
        <v>0</v>
      </c>
      <c r="W8" s="117">
        <f>Расчеты!AC189</f>
        <v>0</v>
      </c>
      <c r="X8" s="117">
        <f>Расчеты!AD189</f>
        <v>0</v>
      </c>
      <c r="Y8" s="117">
        <f>Расчеты!AE189</f>
        <v>0</v>
      </c>
      <c r="Z8" s="117">
        <f>Расчеты!AF189</f>
        <v>0</v>
      </c>
      <c r="AA8" s="117">
        <f>Расчеты!AG189</f>
        <v>0</v>
      </c>
      <c r="AB8" s="117">
        <f>Расчеты!AH189</f>
        <v>0</v>
      </c>
      <c r="AC8" s="117">
        <f>Расчеты!AI189</f>
        <v>0</v>
      </c>
      <c r="AD8" s="117">
        <f>Расчеты!AJ189</f>
        <v>0</v>
      </c>
      <c r="AE8" s="117">
        <f>Расчеты!AK189</f>
        <v>0</v>
      </c>
      <c r="AF8" s="117">
        <f>Расчеты!AL189</f>
        <v>0</v>
      </c>
      <c r="AG8" s="117">
        <f>Расчеты!AM189</f>
        <v>0</v>
      </c>
      <c r="AH8" s="117">
        <f>Расчеты!AN189</f>
        <v>0</v>
      </c>
      <c r="AI8" s="117">
        <f>Расчеты!AO189</f>
        <v>0</v>
      </c>
      <c r="AJ8" s="117">
        <f>Расчеты!AP189</f>
        <v>0</v>
      </c>
      <c r="AK8" s="117">
        <f>Расчеты!AQ189</f>
        <v>0</v>
      </c>
      <c r="AL8" s="117">
        <f>Расчеты!AR189</f>
        <v>0</v>
      </c>
      <c r="AM8" s="117">
        <f>Расчеты!AS189</f>
        <v>0</v>
      </c>
    </row>
    <row r="9" spans="1:39" x14ac:dyDescent="0.35">
      <c r="A9" s="96" t="s">
        <v>210</v>
      </c>
      <c r="B9" s="86"/>
      <c r="C9" s="117">
        <f>Расчеты!I164</f>
        <v>100</v>
      </c>
      <c r="D9" s="117">
        <f>Расчеты!J188</f>
        <v>700</v>
      </c>
      <c r="E9" s="117">
        <f>Расчеты!K188</f>
        <v>0</v>
      </c>
      <c r="F9" s="117">
        <f>Расчеты!L188</f>
        <v>0</v>
      </c>
      <c r="G9" s="117">
        <f>Расчеты!M188</f>
        <v>0</v>
      </c>
      <c r="H9" s="117">
        <f>Расчеты!N188</f>
        <v>0</v>
      </c>
      <c r="I9" s="117">
        <f>Расчеты!O188</f>
        <v>0</v>
      </c>
      <c r="J9" s="117">
        <f>Расчеты!P188</f>
        <v>0</v>
      </c>
      <c r="K9" s="117">
        <f>Расчеты!Q188</f>
        <v>0</v>
      </c>
      <c r="L9" s="117">
        <f>Расчеты!R188</f>
        <v>0</v>
      </c>
      <c r="M9" s="117">
        <f>Расчеты!S188</f>
        <v>0</v>
      </c>
      <c r="N9" s="117">
        <f>Расчеты!T188</f>
        <v>0</v>
      </c>
      <c r="O9" s="117">
        <f>Расчеты!U188</f>
        <v>0</v>
      </c>
      <c r="P9" s="117">
        <f>Расчеты!V188</f>
        <v>0</v>
      </c>
      <c r="Q9" s="117">
        <f>Расчеты!W188</f>
        <v>0</v>
      </c>
      <c r="R9" s="117">
        <f>Расчеты!X188</f>
        <v>0</v>
      </c>
      <c r="S9" s="117">
        <f>Расчеты!Y188</f>
        <v>0</v>
      </c>
      <c r="T9" s="117">
        <f>Расчеты!Z188</f>
        <v>0</v>
      </c>
      <c r="U9" s="117">
        <f>Расчеты!AA188</f>
        <v>0</v>
      </c>
      <c r="V9" s="117">
        <f>Расчеты!AB188</f>
        <v>0</v>
      </c>
      <c r="W9" s="117">
        <f>Расчеты!AC188</f>
        <v>0</v>
      </c>
      <c r="X9" s="117">
        <f>Расчеты!AD188</f>
        <v>0</v>
      </c>
      <c r="Y9" s="117">
        <f>Расчеты!AE188</f>
        <v>0</v>
      </c>
      <c r="Z9" s="117">
        <f>Расчеты!AF188</f>
        <v>0</v>
      </c>
      <c r="AA9" s="117">
        <f>Расчеты!AG188</f>
        <v>0</v>
      </c>
      <c r="AB9" s="117">
        <f>Расчеты!AH188</f>
        <v>0</v>
      </c>
      <c r="AC9" s="117">
        <f>Расчеты!AI188</f>
        <v>0</v>
      </c>
      <c r="AD9" s="117">
        <f>Расчеты!AJ188</f>
        <v>0</v>
      </c>
      <c r="AE9" s="117">
        <f>Расчеты!AK188</f>
        <v>0</v>
      </c>
      <c r="AF9" s="117">
        <f>Расчеты!AL188</f>
        <v>0</v>
      </c>
      <c r="AG9" s="117">
        <f>Расчеты!AM188</f>
        <v>0</v>
      </c>
      <c r="AH9" s="117">
        <f>Расчеты!AN188</f>
        <v>0</v>
      </c>
      <c r="AI9" s="117">
        <f>Расчеты!AO188</f>
        <v>0</v>
      </c>
      <c r="AJ9" s="117">
        <f>Расчеты!AP188</f>
        <v>0</v>
      </c>
      <c r="AK9" s="117">
        <f>Расчеты!AQ188</f>
        <v>0</v>
      </c>
      <c r="AL9" s="117">
        <f>Расчеты!AR188</f>
        <v>0</v>
      </c>
      <c r="AM9" s="117">
        <f>Расчеты!AS188</f>
        <v>0</v>
      </c>
    </row>
    <row r="10" spans="1:39" x14ac:dyDescent="0.35">
      <c r="A10" s="116"/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</row>
    <row r="11" spans="1:39" x14ac:dyDescent="0.35">
      <c r="A11" s="86"/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</row>
    <row r="12" spans="1:39" x14ac:dyDescent="0.35">
      <c r="A12" s="143" t="s">
        <v>211</v>
      </c>
      <c r="B12" s="143"/>
      <c r="C12" s="143"/>
      <c r="D12" s="143"/>
      <c r="E12" s="143"/>
      <c r="F12" s="143"/>
      <c r="G12" s="143"/>
      <c r="H12" s="143"/>
      <c r="I12" s="143"/>
      <c r="J12" s="143"/>
      <c r="K12" s="143"/>
      <c r="L12" s="143"/>
      <c r="M12" s="143"/>
      <c r="N12" s="143"/>
      <c r="O12" s="143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  <c r="AL12" s="143"/>
      <c r="AM12" s="143"/>
    </row>
    <row r="13" spans="1:39" x14ac:dyDescent="0.35">
      <c r="A13" s="118" t="s">
        <v>212</v>
      </c>
      <c r="B13" s="86"/>
      <c r="C13" s="119">
        <f t="shared" ref="C13:AM13" si="0">C6+C7+C8</f>
        <v>0</v>
      </c>
      <c r="D13" s="119">
        <f t="shared" ca="1" si="0"/>
        <v>21.684087643678161</v>
      </c>
      <c r="E13" s="119">
        <f t="shared" ca="1" si="0"/>
        <v>23.70476472701149</v>
      </c>
      <c r="F13" s="119">
        <f t="shared" ca="1" si="0"/>
        <v>25.75387376867819</v>
      </c>
      <c r="G13" s="119">
        <f t="shared" ca="1" si="0"/>
        <v>27.831806262454613</v>
      </c>
      <c r="H13" s="119">
        <f t="shared" ca="1" si="0"/>
        <v>166.91432449301539</v>
      </c>
      <c r="I13" s="119">
        <f t="shared" ca="1" si="0"/>
        <v>28.660587367872477</v>
      </c>
      <c r="J13" s="119">
        <f t="shared" ca="1" si="0"/>
        <v>-169.60596840457453</v>
      </c>
      <c r="K13" s="119">
        <f t="shared" ca="1" si="0"/>
        <v>93.631193921438722</v>
      </c>
      <c r="L13" s="119">
        <f t="shared" ca="1" si="0"/>
        <v>33.934318891574812</v>
      </c>
      <c r="M13" s="119">
        <f t="shared" ca="1" si="0"/>
        <v>35.741836539900667</v>
      </c>
      <c r="N13" s="119">
        <f t="shared" ca="1" si="0"/>
        <v>37.574727539295225</v>
      </c>
      <c r="O13" s="119">
        <f t="shared" ca="1" si="0"/>
        <v>169.67357798869222</v>
      </c>
      <c r="P13" s="119">
        <f t="shared" ca="1" si="0"/>
        <v>-322.29834584038832</v>
      </c>
      <c r="Q13" s="119">
        <f t="shared" ca="1" si="0"/>
        <v>39.581613402756673</v>
      </c>
      <c r="R13" s="119">
        <f t="shared" ca="1" si="0"/>
        <v>41.488058293113511</v>
      </c>
      <c r="S13" s="119">
        <f t="shared" ca="1" si="0"/>
        <v>43.421353836448318</v>
      </c>
      <c r="T13" s="119">
        <f t="shared" ca="1" si="0"/>
        <v>182.07063653878382</v>
      </c>
      <c r="U13" s="119">
        <f t="shared" ca="1" si="0"/>
        <v>47.369981746683294</v>
      </c>
      <c r="V13" s="119">
        <f t="shared" ca="1" si="0"/>
        <v>49.386069167231028</v>
      </c>
      <c r="W13" s="119">
        <f t="shared" ca="1" si="0"/>
        <v>122.7992245016096</v>
      </c>
      <c r="X13" s="119">
        <f t="shared" ca="1" si="0"/>
        <v>53.503717151730548</v>
      </c>
      <c r="Y13" s="119">
        <f t="shared" ca="1" si="0"/>
        <v>55.606063922932179</v>
      </c>
      <c r="Z13" s="119">
        <f t="shared" ca="1" si="0"/>
        <v>57.737958917309079</v>
      </c>
      <c r="AA13" s="119">
        <f t="shared" ca="1" si="0"/>
        <v>211.10651394103749</v>
      </c>
      <c r="AB13" s="119">
        <f t="shared" ca="1" si="0"/>
        <v>57.879834945995583</v>
      </c>
      <c r="AC13" s="119">
        <f t="shared" ca="1" si="0"/>
        <v>60.06596419059629</v>
      </c>
      <c r="AD13" s="119">
        <f t="shared" ca="1" si="0"/>
        <v>62.282932553086042</v>
      </c>
      <c r="AE13" s="119">
        <f t="shared" ca="1" si="0"/>
        <v>64.531165405709146</v>
      </c>
      <c r="AF13" s="119">
        <f t="shared" ca="1" si="0"/>
        <v>225.45408434911585</v>
      </c>
      <c r="AG13" s="119">
        <f t="shared" ca="1" si="0"/>
        <v>69.12315503790299</v>
      </c>
      <c r="AH13" s="119">
        <f t="shared" ca="1" si="0"/>
        <v>71.467791763490354</v>
      </c>
      <c r="AI13" s="119">
        <f t="shared" ca="1" si="0"/>
        <v>156.68412782033087</v>
      </c>
      <c r="AJ13" s="119">
        <f t="shared" ca="1" si="0"/>
        <v>76.256593885373519</v>
      </c>
      <c r="AK13" s="119">
        <f t="shared" ca="1" si="0"/>
        <v>78.701675556358083</v>
      </c>
      <c r="AL13" s="119">
        <f t="shared" ca="1" si="0"/>
        <v>81.18116552792138</v>
      </c>
      <c r="AM13" s="119">
        <f t="shared" ca="1" si="0"/>
        <v>259.22297180989273</v>
      </c>
    </row>
    <row r="14" spans="1:39" x14ac:dyDescent="0.35">
      <c r="A14" s="96" t="s">
        <v>213</v>
      </c>
      <c r="B14" s="86"/>
      <c r="C14" s="117">
        <f t="shared" ref="C14:AM14" si="1">-C9</f>
        <v>-100</v>
      </c>
      <c r="D14" s="117">
        <f t="shared" si="1"/>
        <v>-700</v>
      </c>
      <c r="E14" s="117">
        <f t="shared" si="1"/>
        <v>0</v>
      </c>
      <c r="F14" s="117">
        <f t="shared" si="1"/>
        <v>0</v>
      </c>
      <c r="G14" s="117">
        <f t="shared" si="1"/>
        <v>0</v>
      </c>
      <c r="H14" s="117">
        <f t="shared" si="1"/>
        <v>0</v>
      </c>
      <c r="I14" s="117">
        <f t="shared" si="1"/>
        <v>0</v>
      </c>
      <c r="J14" s="117">
        <f t="shared" si="1"/>
        <v>0</v>
      </c>
      <c r="K14" s="117">
        <f t="shared" si="1"/>
        <v>0</v>
      </c>
      <c r="L14" s="117">
        <f t="shared" si="1"/>
        <v>0</v>
      </c>
      <c r="M14" s="117">
        <f t="shared" si="1"/>
        <v>0</v>
      </c>
      <c r="N14" s="117">
        <f t="shared" si="1"/>
        <v>0</v>
      </c>
      <c r="O14" s="117">
        <f t="shared" si="1"/>
        <v>0</v>
      </c>
      <c r="P14" s="117">
        <f t="shared" si="1"/>
        <v>0</v>
      </c>
      <c r="Q14" s="117">
        <f t="shared" si="1"/>
        <v>0</v>
      </c>
      <c r="R14" s="117">
        <f t="shared" si="1"/>
        <v>0</v>
      </c>
      <c r="S14" s="117">
        <f t="shared" si="1"/>
        <v>0</v>
      </c>
      <c r="T14" s="117">
        <f t="shared" si="1"/>
        <v>0</v>
      </c>
      <c r="U14" s="117">
        <f t="shared" si="1"/>
        <v>0</v>
      </c>
      <c r="V14" s="117">
        <f t="shared" si="1"/>
        <v>0</v>
      </c>
      <c r="W14" s="117">
        <f t="shared" si="1"/>
        <v>0</v>
      </c>
      <c r="X14" s="117">
        <f t="shared" si="1"/>
        <v>0</v>
      </c>
      <c r="Y14" s="117">
        <f t="shared" si="1"/>
        <v>0</v>
      </c>
      <c r="Z14" s="117">
        <f t="shared" si="1"/>
        <v>0</v>
      </c>
      <c r="AA14" s="117">
        <f t="shared" si="1"/>
        <v>0</v>
      </c>
      <c r="AB14" s="117">
        <f t="shared" si="1"/>
        <v>0</v>
      </c>
      <c r="AC14" s="117">
        <f t="shared" si="1"/>
        <v>0</v>
      </c>
      <c r="AD14" s="117">
        <f t="shared" si="1"/>
        <v>0</v>
      </c>
      <c r="AE14" s="117">
        <f t="shared" si="1"/>
        <v>0</v>
      </c>
      <c r="AF14" s="117">
        <f t="shared" si="1"/>
        <v>0</v>
      </c>
      <c r="AG14" s="117">
        <f t="shared" si="1"/>
        <v>0</v>
      </c>
      <c r="AH14" s="117">
        <f t="shared" si="1"/>
        <v>0</v>
      </c>
      <c r="AI14" s="117">
        <f t="shared" si="1"/>
        <v>0</v>
      </c>
      <c r="AJ14" s="117">
        <f t="shared" si="1"/>
        <v>0</v>
      </c>
      <c r="AK14" s="117">
        <f t="shared" si="1"/>
        <v>0</v>
      </c>
      <c r="AL14" s="117">
        <f t="shared" si="1"/>
        <v>0</v>
      </c>
      <c r="AM14" s="117">
        <f t="shared" si="1"/>
        <v>0</v>
      </c>
    </row>
    <row r="15" spans="1:39" s="113" customFormat="1" x14ac:dyDescent="0.35">
      <c r="A15" s="138" t="s">
        <v>214</v>
      </c>
      <c r="B15" s="139"/>
      <c r="C15" s="142">
        <f t="shared" ref="C15:AM15" si="2">C13+C14</f>
        <v>-100</v>
      </c>
      <c r="D15" s="142">
        <f t="shared" ca="1" si="2"/>
        <v>-678.31591235632186</v>
      </c>
      <c r="E15" s="142">
        <f t="shared" ca="1" si="2"/>
        <v>23.70476472701149</v>
      </c>
      <c r="F15" s="142">
        <f t="shared" ca="1" si="2"/>
        <v>25.75387376867819</v>
      </c>
      <c r="G15" s="142">
        <f t="shared" ca="1" si="2"/>
        <v>27.831806262454613</v>
      </c>
      <c r="H15" s="142">
        <f t="shared" ca="1" si="2"/>
        <v>166.91432449301539</v>
      </c>
      <c r="I15" s="142">
        <f t="shared" ca="1" si="2"/>
        <v>28.660587367872477</v>
      </c>
      <c r="J15" s="142">
        <f t="shared" ca="1" si="2"/>
        <v>-169.60596840457453</v>
      </c>
      <c r="K15" s="142">
        <f t="shared" ca="1" si="2"/>
        <v>93.631193921438722</v>
      </c>
      <c r="L15" s="142">
        <f t="shared" ca="1" si="2"/>
        <v>33.934318891574812</v>
      </c>
      <c r="M15" s="142">
        <f t="shared" ca="1" si="2"/>
        <v>35.741836539900667</v>
      </c>
      <c r="N15" s="142">
        <f t="shared" ca="1" si="2"/>
        <v>37.574727539295225</v>
      </c>
      <c r="O15" s="142">
        <f t="shared" ca="1" si="2"/>
        <v>169.67357798869222</v>
      </c>
      <c r="P15" s="142">
        <f t="shared" ca="1" si="2"/>
        <v>-322.29834584038832</v>
      </c>
      <c r="Q15" s="142">
        <f t="shared" ca="1" si="2"/>
        <v>39.581613402756673</v>
      </c>
      <c r="R15" s="142">
        <f t="shared" ca="1" si="2"/>
        <v>41.488058293113511</v>
      </c>
      <c r="S15" s="142">
        <f t="shared" ca="1" si="2"/>
        <v>43.421353836448318</v>
      </c>
      <c r="T15" s="142">
        <f t="shared" ca="1" si="2"/>
        <v>182.07063653878382</v>
      </c>
      <c r="U15" s="142">
        <f t="shared" ca="1" si="2"/>
        <v>47.369981746683294</v>
      </c>
      <c r="V15" s="142">
        <f t="shared" ca="1" si="2"/>
        <v>49.386069167231028</v>
      </c>
      <c r="W15" s="142">
        <f t="shared" ca="1" si="2"/>
        <v>122.7992245016096</v>
      </c>
      <c r="X15" s="142">
        <f t="shared" ca="1" si="2"/>
        <v>53.503717151730548</v>
      </c>
      <c r="Y15" s="142">
        <f t="shared" ca="1" si="2"/>
        <v>55.606063922932179</v>
      </c>
      <c r="Z15" s="142">
        <f t="shared" ca="1" si="2"/>
        <v>57.737958917309079</v>
      </c>
      <c r="AA15" s="142">
        <f t="shared" ca="1" si="2"/>
        <v>211.10651394103749</v>
      </c>
      <c r="AB15" s="142">
        <f t="shared" ca="1" si="2"/>
        <v>57.879834945995583</v>
      </c>
      <c r="AC15" s="142">
        <f t="shared" ca="1" si="2"/>
        <v>60.06596419059629</v>
      </c>
      <c r="AD15" s="142">
        <f t="shared" ca="1" si="2"/>
        <v>62.282932553086042</v>
      </c>
      <c r="AE15" s="142">
        <f t="shared" ca="1" si="2"/>
        <v>64.531165405709146</v>
      </c>
      <c r="AF15" s="142">
        <f t="shared" ca="1" si="2"/>
        <v>225.45408434911585</v>
      </c>
      <c r="AG15" s="142">
        <f t="shared" ca="1" si="2"/>
        <v>69.12315503790299</v>
      </c>
      <c r="AH15" s="142">
        <f t="shared" ca="1" si="2"/>
        <v>71.467791763490354</v>
      </c>
      <c r="AI15" s="142">
        <f t="shared" ca="1" si="2"/>
        <v>156.68412782033087</v>
      </c>
      <c r="AJ15" s="142">
        <f t="shared" ca="1" si="2"/>
        <v>76.256593885373519</v>
      </c>
      <c r="AK15" s="142">
        <f t="shared" ca="1" si="2"/>
        <v>78.701675556358083</v>
      </c>
      <c r="AL15" s="142">
        <f t="shared" ca="1" si="2"/>
        <v>81.18116552792138</v>
      </c>
      <c r="AM15" s="142">
        <f t="shared" ca="1" si="2"/>
        <v>259.22297180989273</v>
      </c>
    </row>
    <row r="16" spans="1:39" x14ac:dyDescent="0.35">
      <c r="A16" s="96" t="s">
        <v>215</v>
      </c>
      <c r="B16" s="86"/>
      <c r="C16" s="117">
        <f t="shared" ref="C16:AM16" si="3">C15/(1+$B$23)^C$4</f>
        <v>-100</v>
      </c>
      <c r="D16" s="117">
        <f t="shared" ca="1" si="3"/>
        <v>-670.1484777833374</v>
      </c>
      <c r="E16" s="117">
        <f t="shared" ca="1" si="3"/>
        <v>23.137354988527694</v>
      </c>
      <c r="F16" s="117">
        <f t="shared" ca="1" si="3"/>
        <v>24.83474205767499</v>
      </c>
      <c r="G16" s="117">
        <f t="shared" ca="1" si="3"/>
        <v>26.515359141172016</v>
      </c>
      <c r="H16" s="117">
        <f t="shared" ca="1" si="3"/>
        <v>157.10454914871639</v>
      </c>
      <c r="I16" s="117">
        <f t="shared" ca="1" si="3"/>
        <v>26.651353417842991</v>
      </c>
      <c r="J16" s="117">
        <f t="shared" ca="1" si="3"/>
        <v>-155.81682227298452</v>
      </c>
      <c r="K16" s="117">
        <f t="shared" ca="1" si="3"/>
        <v>84.98314589874164</v>
      </c>
      <c r="L16" s="117">
        <f t="shared" ca="1" si="3"/>
        <v>30.429191230708394</v>
      </c>
      <c r="M16" s="117">
        <f t="shared" ca="1" si="3"/>
        <v>31.664101383064146</v>
      </c>
      <c r="N16" s="117">
        <f t="shared" ca="1" si="3"/>
        <v>32.887069305198203</v>
      </c>
      <c r="O16" s="117">
        <f t="shared" ca="1" si="3"/>
        <v>146.71772419236461</v>
      </c>
      <c r="P16" s="117">
        <f t="shared" ca="1" si="3"/>
        <v>-275.33756705910281</v>
      </c>
      <c r="Q16" s="117">
        <f t="shared" ca="1" si="3"/>
        <v>33.40718768752604</v>
      </c>
      <c r="R16" s="117">
        <f t="shared" ca="1" si="3"/>
        <v>34.594619981253231</v>
      </c>
      <c r="S16" s="117">
        <f t="shared" ca="1" si="3"/>
        <v>35.770733456220547</v>
      </c>
      <c r="T16" s="117">
        <f t="shared" ca="1" si="3"/>
        <v>148.18472066364066</v>
      </c>
      <c r="U16" s="117">
        <f t="shared" ca="1" si="3"/>
        <v>38.089543082981962</v>
      </c>
      <c r="V16" s="117">
        <f t="shared" ca="1" si="3"/>
        <v>39.232504768452436</v>
      </c>
      <c r="W16" s="117">
        <f t="shared" ca="1" si="3"/>
        <v>96.377627315255822</v>
      </c>
      <c r="X16" s="117">
        <f t="shared" ca="1" si="3"/>
        <v>41.486193822309644</v>
      </c>
      <c r="Y16" s="117">
        <f t="shared" ca="1" si="3"/>
        <v>42.597177287978354</v>
      </c>
      <c r="Z16" s="117">
        <f t="shared" ca="1" si="3"/>
        <v>43.697754889036936</v>
      </c>
      <c r="AA16" s="117">
        <f t="shared" ca="1" si="3"/>
        <v>157.84773760017583</v>
      </c>
      <c r="AB16" s="117">
        <f t="shared" ca="1" si="3"/>
        <v>42.756588074388809</v>
      </c>
      <c r="AC16" s="117">
        <f t="shared" ca="1" si="3"/>
        <v>43.837243817029695</v>
      </c>
      <c r="AD16" s="117">
        <f t="shared" ca="1" si="3"/>
        <v>44.907912856115317</v>
      </c>
      <c r="AE16" s="117">
        <f t="shared" ca="1" si="3"/>
        <v>45.968714289202026</v>
      </c>
      <c r="AF16" s="117">
        <f t="shared" ca="1" si="3"/>
        <v>158.66823342010841</v>
      </c>
      <c r="AG16" s="117">
        <f t="shared" ca="1" si="3"/>
        <v>48.061183609503992</v>
      </c>
      <c r="AH16" s="117">
        <f t="shared" ca="1" si="3"/>
        <v>49.093082625039123</v>
      </c>
      <c r="AI16" s="117">
        <f t="shared" ca="1" si="3"/>
        <v>106.33444639488023</v>
      </c>
      <c r="AJ16" s="117">
        <f t="shared" ca="1" si="3"/>
        <v>51.12877684115233</v>
      </c>
      <c r="AK16" s="117">
        <f t="shared" ca="1" si="3"/>
        <v>52.132794962379187</v>
      </c>
      <c r="AL16" s="117">
        <f t="shared" ca="1" si="3"/>
        <v>53.127740150248513</v>
      </c>
      <c r="AM16" s="117">
        <f t="shared" ca="1" si="3"/>
        <v>167.60176056453008</v>
      </c>
    </row>
    <row r="17" spans="1:39" x14ac:dyDescent="0.35">
      <c r="A17" s="116"/>
      <c r="B17" s="86"/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</row>
    <row r="18" spans="1:39" x14ac:dyDescent="0.35">
      <c r="A18" s="118" t="s">
        <v>216</v>
      </c>
      <c r="B18" s="86"/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</row>
    <row r="19" spans="1:39" x14ac:dyDescent="0.35">
      <c r="A19" s="96" t="s">
        <v>217</v>
      </c>
      <c r="B19" s="120">
        <v>1.4999999999999999E-2</v>
      </c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</row>
    <row r="20" spans="1:39" x14ac:dyDescent="0.35">
      <c r="A20" s="96" t="s">
        <v>218</v>
      </c>
      <c r="B20" s="121">
        <v>1.25</v>
      </c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</row>
    <row r="21" spans="1:39" x14ac:dyDescent="0.35">
      <c r="A21" s="96" t="s">
        <v>219</v>
      </c>
      <c r="B21" s="120">
        <v>0.12</v>
      </c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</row>
    <row r="22" spans="1:39" x14ac:dyDescent="0.35">
      <c r="A22" s="118" t="s">
        <v>220</v>
      </c>
      <c r="B22" s="114">
        <f>B19+B20*(B21-B19)</f>
        <v>0.14624999999999999</v>
      </c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</row>
    <row r="23" spans="1:39" x14ac:dyDescent="0.35">
      <c r="A23" s="118" t="s">
        <v>221</v>
      </c>
      <c r="B23" s="130">
        <f>B22/12</f>
        <v>1.2187499999999999E-2</v>
      </c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</row>
    <row r="24" spans="1:39" x14ac:dyDescent="0.35">
      <c r="A24" s="86"/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</row>
    <row r="25" spans="1:39" x14ac:dyDescent="0.35">
      <c r="A25" s="96" t="s">
        <v>222</v>
      </c>
      <c r="B25" s="86"/>
      <c r="C25" s="117">
        <f>C15</f>
        <v>-100</v>
      </c>
      <c r="D25" s="117">
        <f t="shared" ref="D25:AM26" ca="1" si="4">C25+D15</f>
        <v>-778.31591235632186</v>
      </c>
      <c r="E25" s="117">
        <f t="shared" ca="1" si="4"/>
        <v>-754.61114762931038</v>
      </c>
      <c r="F25" s="117">
        <f t="shared" ca="1" si="4"/>
        <v>-728.85727386063218</v>
      </c>
      <c r="G25" s="117">
        <f t="shared" ca="1" si="4"/>
        <v>-701.02546759817756</v>
      </c>
      <c r="H25" s="117">
        <f t="shared" ca="1" si="4"/>
        <v>-534.11114310516223</v>
      </c>
      <c r="I25" s="117">
        <f t="shared" ca="1" si="4"/>
        <v>-505.45055573728973</v>
      </c>
      <c r="J25" s="117">
        <f t="shared" ca="1" si="4"/>
        <v>-675.0565241418642</v>
      </c>
      <c r="K25" s="117">
        <f t="shared" ca="1" si="4"/>
        <v>-581.42533022042551</v>
      </c>
      <c r="L25" s="117">
        <f t="shared" ca="1" si="4"/>
        <v>-547.49101132885073</v>
      </c>
      <c r="M25" s="117">
        <f t="shared" ca="1" si="4"/>
        <v>-511.74917478895009</v>
      </c>
      <c r="N25" s="117">
        <f t="shared" ca="1" si="4"/>
        <v>-474.17444724965486</v>
      </c>
      <c r="O25" s="117">
        <f t="shared" ca="1" si="4"/>
        <v>-304.50086926096265</v>
      </c>
      <c r="P25" s="117">
        <f t="shared" ca="1" si="4"/>
        <v>-626.79921510135091</v>
      </c>
      <c r="Q25" s="117">
        <f t="shared" ca="1" si="4"/>
        <v>-587.21760169859419</v>
      </c>
      <c r="R25" s="117">
        <f t="shared" ca="1" si="4"/>
        <v>-545.72954340548063</v>
      </c>
      <c r="S25" s="117">
        <f t="shared" ca="1" si="4"/>
        <v>-502.30818956903232</v>
      </c>
      <c r="T25" s="117">
        <f t="shared" ca="1" si="4"/>
        <v>-320.23755303024848</v>
      </c>
      <c r="U25" s="117">
        <f t="shared" ca="1" si="4"/>
        <v>-272.86757128356521</v>
      </c>
      <c r="V25" s="117">
        <f t="shared" ca="1" si="4"/>
        <v>-223.48150211633418</v>
      </c>
      <c r="W25" s="117">
        <f t="shared" ca="1" si="4"/>
        <v>-100.68227761472458</v>
      </c>
      <c r="X25" s="117">
        <f t="shared" ca="1" si="4"/>
        <v>-47.178560462994035</v>
      </c>
      <c r="Y25" s="117">
        <f t="shared" ca="1" si="4"/>
        <v>8.4275034599381442</v>
      </c>
      <c r="Z25" s="117">
        <f t="shared" ca="1" si="4"/>
        <v>66.165462377247223</v>
      </c>
      <c r="AA25" s="117">
        <f t="shared" ca="1" si="4"/>
        <v>277.27197631828471</v>
      </c>
      <c r="AB25" s="117">
        <f t="shared" ca="1" si="4"/>
        <v>335.1518112642803</v>
      </c>
      <c r="AC25" s="117">
        <f t="shared" ca="1" si="4"/>
        <v>395.21777545487657</v>
      </c>
      <c r="AD25" s="117">
        <f t="shared" ca="1" si="4"/>
        <v>457.5007080079626</v>
      </c>
      <c r="AE25" s="117">
        <f t="shared" ca="1" si="4"/>
        <v>522.03187341367175</v>
      </c>
      <c r="AF25" s="117">
        <f t="shared" ca="1" si="4"/>
        <v>747.48595776278762</v>
      </c>
      <c r="AG25" s="117">
        <f t="shared" ca="1" si="4"/>
        <v>816.60911280069058</v>
      </c>
      <c r="AH25" s="117">
        <f t="shared" ca="1" si="4"/>
        <v>888.07690456418095</v>
      </c>
      <c r="AI25" s="117">
        <f t="shared" ca="1" si="4"/>
        <v>1044.7610323845117</v>
      </c>
      <c r="AJ25" s="117">
        <f t="shared" ca="1" si="4"/>
        <v>1121.0176262698853</v>
      </c>
      <c r="AK25" s="117">
        <f t="shared" ca="1" si="4"/>
        <v>1199.7193018262435</v>
      </c>
      <c r="AL25" s="117">
        <f t="shared" ca="1" si="4"/>
        <v>1280.9004673541649</v>
      </c>
      <c r="AM25" s="117">
        <f t="shared" ca="1" si="4"/>
        <v>1540.1234391640576</v>
      </c>
    </row>
    <row r="26" spans="1:39" x14ac:dyDescent="0.35">
      <c r="A26" s="96" t="s">
        <v>223</v>
      </c>
      <c r="B26" s="86"/>
      <c r="C26" s="117">
        <f>C16</f>
        <v>-100</v>
      </c>
      <c r="D26" s="117">
        <f t="shared" ca="1" si="4"/>
        <v>-770.1484777833374</v>
      </c>
      <c r="E26" s="117">
        <f t="shared" ca="1" si="4"/>
        <v>-747.01112279480969</v>
      </c>
      <c r="F26" s="117">
        <f t="shared" ca="1" si="4"/>
        <v>-722.17638073713465</v>
      </c>
      <c r="G26" s="117">
        <f t="shared" ca="1" si="4"/>
        <v>-695.66102159596267</v>
      </c>
      <c r="H26" s="117">
        <f t="shared" ca="1" si="4"/>
        <v>-538.55647244724628</v>
      </c>
      <c r="I26" s="117">
        <f t="shared" ca="1" si="4"/>
        <v>-511.90511902940329</v>
      </c>
      <c r="J26" s="117">
        <f t="shared" ca="1" si="4"/>
        <v>-667.72194130238779</v>
      </c>
      <c r="K26" s="117">
        <f t="shared" ca="1" si="4"/>
        <v>-582.73879540364612</v>
      </c>
      <c r="L26" s="117">
        <f t="shared" ca="1" si="4"/>
        <v>-552.30960417293772</v>
      </c>
      <c r="M26" s="117">
        <f t="shared" ca="1" si="4"/>
        <v>-520.6455027898736</v>
      </c>
      <c r="N26" s="117">
        <f t="shared" ca="1" si="4"/>
        <v>-487.75843348467538</v>
      </c>
      <c r="O26" s="117">
        <f t="shared" ca="1" si="4"/>
        <v>-341.04070929231079</v>
      </c>
      <c r="P26" s="117">
        <f t="shared" ca="1" si="4"/>
        <v>-616.37827635141366</v>
      </c>
      <c r="Q26" s="117">
        <f t="shared" ca="1" si="4"/>
        <v>-582.9710886638876</v>
      </c>
      <c r="R26" s="117">
        <f t="shared" ca="1" si="4"/>
        <v>-548.37646868263437</v>
      </c>
      <c r="S26" s="117">
        <f t="shared" ca="1" si="4"/>
        <v>-512.6057352264138</v>
      </c>
      <c r="T26" s="117">
        <f t="shared" ca="1" si="4"/>
        <v>-364.42101456277317</v>
      </c>
      <c r="U26" s="117">
        <f t="shared" ca="1" si="4"/>
        <v>-326.33147147979122</v>
      </c>
      <c r="V26" s="117">
        <f t="shared" ca="1" si="4"/>
        <v>-287.09896671133879</v>
      </c>
      <c r="W26" s="117">
        <f t="shared" ca="1" si="4"/>
        <v>-190.72133939608295</v>
      </c>
      <c r="X26" s="117">
        <f t="shared" ca="1" si="4"/>
        <v>-149.23514557377331</v>
      </c>
      <c r="Y26" s="117">
        <f t="shared" ca="1" si="4"/>
        <v>-106.63796828579495</v>
      </c>
      <c r="Z26" s="117">
        <f t="shared" ca="1" si="4"/>
        <v>-62.940213396758018</v>
      </c>
      <c r="AA26" s="117">
        <f t="shared" ca="1" si="4"/>
        <v>94.907524203417807</v>
      </c>
      <c r="AB26" s="117">
        <f t="shared" ca="1" si="4"/>
        <v>137.66411227780662</v>
      </c>
      <c r="AC26" s="117">
        <f t="shared" ca="1" si="4"/>
        <v>181.50135609483632</v>
      </c>
      <c r="AD26" s="117">
        <f t="shared" ca="1" si="4"/>
        <v>226.40926895095163</v>
      </c>
      <c r="AE26" s="117">
        <f t="shared" ca="1" si="4"/>
        <v>272.37798324015364</v>
      </c>
      <c r="AF26" s="117">
        <f t="shared" ca="1" si="4"/>
        <v>431.04621666026208</v>
      </c>
      <c r="AG26" s="117">
        <f t="shared" ca="1" si="4"/>
        <v>479.10740026976606</v>
      </c>
      <c r="AH26" s="117">
        <f t="shared" ca="1" si="4"/>
        <v>528.20048289480519</v>
      </c>
      <c r="AI26" s="117">
        <f t="shared" ca="1" si="4"/>
        <v>634.53492928968546</v>
      </c>
      <c r="AJ26" s="117">
        <f t="shared" ca="1" si="4"/>
        <v>685.6637061308378</v>
      </c>
      <c r="AK26" s="117">
        <f t="shared" ca="1" si="4"/>
        <v>737.79650109321699</v>
      </c>
      <c r="AL26" s="117">
        <f t="shared" ca="1" si="4"/>
        <v>790.92424124346553</v>
      </c>
      <c r="AM26" s="117">
        <f t="shared" ca="1" si="4"/>
        <v>958.52600180799561</v>
      </c>
    </row>
    <row r="27" spans="1:39" x14ac:dyDescent="0.35">
      <c r="A27" s="86"/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</row>
    <row r="28" spans="1:39" x14ac:dyDescent="0.35">
      <c r="A28" s="118" t="s">
        <v>224</v>
      </c>
      <c r="B28" s="115">
        <f ca="1">C15+NPV($B$23,D15:AM15)</f>
        <v>958.5260018079955</v>
      </c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</row>
    <row r="29" spans="1:39" x14ac:dyDescent="0.35">
      <c r="A29" s="96" t="s">
        <v>225</v>
      </c>
      <c r="B29" s="131">
        <f ca="1">IRR(C15:AM15)</f>
        <v>5.2071611913975469E-2</v>
      </c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</row>
    <row r="30" spans="1:39" x14ac:dyDescent="0.35">
      <c r="A30" s="118" t="s">
        <v>226</v>
      </c>
      <c r="B30" s="114">
        <f ca="1">B29*12</f>
        <v>0.62485934296770562</v>
      </c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</row>
    <row r="31" spans="1:39" x14ac:dyDescent="0.35">
      <c r="A31" s="118" t="s">
        <v>227</v>
      </c>
      <c r="B31" s="132">
        <f ca="1">SUMIF($C$16:$AM$16,"&gt;0")/-SUMIF($C$16:$AM$16,"&lt;0")</f>
        <v>1.7979053642897014</v>
      </c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</row>
    <row r="32" spans="1:39" x14ac:dyDescent="0.35">
      <c r="A32" s="118" t="s">
        <v>228</v>
      </c>
      <c r="B32" s="133">
        <f ca="1">COUNTIF($C$25:$AM$25,"&lt;0")-1+(-INDEX($C$25:$AM$25,COUNTIF($C$25:$AM$25,"&lt;0")))/INDEX($C$15:$AM$15,COUNTIF($C$25:$AM$25,"&lt;0")+1)</f>
        <v>21.848442726109543</v>
      </c>
      <c r="C32" s="112">
        <f ca="1">B32/12</f>
        <v>1.8207035605091286</v>
      </c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</row>
    <row r="33" spans="1:39" x14ac:dyDescent="0.35">
      <c r="A33" s="118" t="s">
        <v>229</v>
      </c>
      <c r="B33" s="133">
        <f ca="1">COUNTIF($C$26:$AM$26,"&lt;0")-1+(-INDEX($C$26:$AM$26,COUNTIF($C$26:$AM$26,"&lt;0")))/INDEX($C$16:$AM$16,COUNTIF($C$26:$AM$26,"&lt;0")+1)</f>
        <v>23.398740041217341</v>
      </c>
      <c r="C33" s="112">
        <f ca="1">B33/12</f>
        <v>1.9498950034347784</v>
      </c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</row>
    <row r="34" spans="1:39" x14ac:dyDescent="0.35">
      <c r="A34" s="86"/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</row>
    <row r="35" spans="1:39" x14ac:dyDescent="0.35">
      <c r="A35" s="129" t="s">
        <v>230</v>
      </c>
      <c r="B35" s="129"/>
      <c r="C35" s="129"/>
      <c r="D35" s="129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29"/>
      <c r="R35" s="129"/>
      <c r="S35" s="129"/>
      <c r="T35" s="129"/>
      <c r="U35" s="129"/>
      <c r="V35" s="129"/>
      <c r="W35" s="129"/>
      <c r="X35" s="129"/>
      <c r="Y35" s="129"/>
      <c r="Z35" s="129"/>
      <c r="AA35" s="129"/>
      <c r="AB35" s="129"/>
      <c r="AC35" s="129"/>
      <c r="AD35" s="129"/>
      <c r="AE35" s="129"/>
      <c r="AF35" s="129"/>
      <c r="AG35" s="129"/>
      <c r="AH35" s="129"/>
      <c r="AI35" s="129"/>
      <c r="AJ35" s="129"/>
      <c r="AK35" s="129"/>
      <c r="AL35" s="129"/>
      <c r="AM35" s="129"/>
    </row>
    <row r="36" spans="1:39" x14ac:dyDescent="0.35">
      <c r="A36" s="116"/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</row>
    <row r="37" spans="1:39" x14ac:dyDescent="0.35">
      <c r="A37" s="96" t="s">
        <v>231</v>
      </c>
      <c r="B37" s="122">
        <v>-1000</v>
      </c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</row>
    <row r="38" spans="1:39" x14ac:dyDescent="0.35">
      <c r="A38" s="96" t="s">
        <v>232</v>
      </c>
      <c r="B38" s="120">
        <v>0.12</v>
      </c>
      <c r="C38" s="131">
        <f>B38/12</f>
        <v>0.01</v>
      </c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</row>
    <row r="39" spans="1:39" x14ac:dyDescent="0.35">
      <c r="A39" s="96" t="s">
        <v>233</v>
      </c>
      <c r="B39" s="120">
        <v>0.1</v>
      </c>
      <c r="C39" s="131">
        <f>B39/12</f>
        <v>8.3333333333333332E-3</v>
      </c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</row>
    <row r="40" spans="1:39" s="113" customFormat="1" x14ac:dyDescent="0.35">
      <c r="A40" s="138" t="s">
        <v>234</v>
      </c>
      <c r="B40" s="139"/>
      <c r="C40" s="142">
        <f>$B$37</f>
        <v>-1000</v>
      </c>
      <c r="D40" s="142">
        <f t="shared" ref="D40:AM40" ca="1" si="5">D13</f>
        <v>21.684087643678161</v>
      </c>
      <c r="E40" s="142">
        <f t="shared" ca="1" si="5"/>
        <v>23.70476472701149</v>
      </c>
      <c r="F40" s="142">
        <f t="shared" ca="1" si="5"/>
        <v>25.75387376867819</v>
      </c>
      <c r="G40" s="142">
        <f t="shared" ca="1" si="5"/>
        <v>27.831806262454613</v>
      </c>
      <c r="H40" s="142">
        <f t="shared" ca="1" si="5"/>
        <v>166.91432449301539</v>
      </c>
      <c r="I40" s="142">
        <f t="shared" ca="1" si="5"/>
        <v>28.660587367872477</v>
      </c>
      <c r="J40" s="142">
        <f t="shared" ca="1" si="5"/>
        <v>-169.60596840457453</v>
      </c>
      <c r="K40" s="142">
        <f t="shared" ca="1" si="5"/>
        <v>93.631193921438722</v>
      </c>
      <c r="L40" s="142">
        <f t="shared" ca="1" si="5"/>
        <v>33.934318891574812</v>
      </c>
      <c r="M40" s="142">
        <f t="shared" ca="1" si="5"/>
        <v>35.741836539900667</v>
      </c>
      <c r="N40" s="142">
        <f t="shared" ca="1" si="5"/>
        <v>37.574727539295225</v>
      </c>
      <c r="O40" s="142">
        <f t="shared" ca="1" si="5"/>
        <v>169.67357798869222</v>
      </c>
      <c r="P40" s="142">
        <f t="shared" ca="1" si="5"/>
        <v>-322.29834584038832</v>
      </c>
      <c r="Q40" s="142">
        <f t="shared" ca="1" si="5"/>
        <v>39.581613402756673</v>
      </c>
      <c r="R40" s="142">
        <f t="shared" ca="1" si="5"/>
        <v>41.488058293113511</v>
      </c>
      <c r="S40" s="142">
        <f t="shared" ca="1" si="5"/>
        <v>43.421353836448318</v>
      </c>
      <c r="T40" s="142">
        <f t="shared" ca="1" si="5"/>
        <v>182.07063653878382</v>
      </c>
      <c r="U40" s="142">
        <f t="shared" ca="1" si="5"/>
        <v>47.369981746683294</v>
      </c>
      <c r="V40" s="142">
        <f t="shared" ca="1" si="5"/>
        <v>49.386069167231028</v>
      </c>
      <c r="W40" s="142">
        <f t="shared" ca="1" si="5"/>
        <v>122.7992245016096</v>
      </c>
      <c r="X40" s="142">
        <f t="shared" ca="1" si="5"/>
        <v>53.503717151730548</v>
      </c>
      <c r="Y40" s="142">
        <f t="shared" ca="1" si="5"/>
        <v>55.606063922932179</v>
      </c>
      <c r="Z40" s="142">
        <f t="shared" ca="1" si="5"/>
        <v>57.737958917309079</v>
      </c>
      <c r="AA40" s="142">
        <f t="shared" ca="1" si="5"/>
        <v>211.10651394103749</v>
      </c>
      <c r="AB40" s="142">
        <f t="shared" ca="1" si="5"/>
        <v>57.879834945995583</v>
      </c>
      <c r="AC40" s="142">
        <f t="shared" ca="1" si="5"/>
        <v>60.06596419059629</v>
      </c>
      <c r="AD40" s="142">
        <f t="shared" ca="1" si="5"/>
        <v>62.282932553086042</v>
      </c>
      <c r="AE40" s="142">
        <f t="shared" ca="1" si="5"/>
        <v>64.531165405709146</v>
      </c>
      <c r="AF40" s="142">
        <f t="shared" ca="1" si="5"/>
        <v>225.45408434911585</v>
      </c>
      <c r="AG40" s="142">
        <f t="shared" ca="1" si="5"/>
        <v>69.12315503790299</v>
      </c>
      <c r="AH40" s="142">
        <f t="shared" ca="1" si="5"/>
        <v>71.467791763490354</v>
      </c>
      <c r="AI40" s="142">
        <f t="shared" ca="1" si="5"/>
        <v>156.68412782033087</v>
      </c>
      <c r="AJ40" s="142">
        <f t="shared" ca="1" si="5"/>
        <v>76.256593885373519</v>
      </c>
      <c r="AK40" s="142">
        <f t="shared" ca="1" si="5"/>
        <v>78.701675556358083</v>
      </c>
      <c r="AL40" s="142">
        <f t="shared" ca="1" si="5"/>
        <v>81.18116552792138</v>
      </c>
      <c r="AM40" s="142">
        <f t="shared" ca="1" si="5"/>
        <v>259.22297180989273</v>
      </c>
    </row>
    <row r="41" spans="1:39" x14ac:dyDescent="0.35">
      <c r="A41" s="96" t="s">
        <v>235</v>
      </c>
      <c r="B41" s="131">
        <f ca="1">MIRR(C40:AM40,$C$38,$C$39)</f>
        <v>2.2290750477997667E-2</v>
      </c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86"/>
      <c r="AH41" s="86"/>
      <c r="AI41" s="86"/>
      <c r="AJ41" s="86"/>
      <c r="AK41" s="86"/>
      <c r="AL41" s="86"/>
      <c r="AM41" s="86"/>
    </row>
    <row r="42" spans="1:39" x14ac:dyDescent="0.35">
      <c r="A42" s="118" t="s">
        <v>236</v>
      </c>
      <c r="B42" s="114">
        <f ca="1">B41*12</f>
        <v>0.26748900573597201</v>
      </c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</row>
    <row r="43" spans="1:39" x14ac:dyDescent="0.35">
      <c r="A43" s="96" t="s">
        <v>237</v>
      </c>
      <c r="B43" s="123">
        <f ca="1">IRR(C40:AM40)*12</f>
        <v>0.45733131441128894</v>
      </c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</row>
    <row r="44" spans="1:39" x14ac:dyDescent="0.35">
      <c r="A44" s="96" t="s">
        <v>238</v>
      </c>
      <c r="B44" s="117">
        <f ca="1">C40+NPV($B$23,D40:AM40)</f>
        <v>750.09747448474786</v>
      </c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</row>
    <row r="45" spans="1:39" x14ac:dyDescent="0.35">
      <c r="A45" s="86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G45" s="86"/>
      <c r="AH45" s="86"/>
      <c r="AI45" s="86"/>
      <c r="AJ45" s="86"/>
      <c r="AK45" s="86"/>
      <c r="AL45" s="86"/>
      <c r="AM45" s="86"/>
    </row>
    <row r="46" spans="1:39" x14ac:dyDescent="0.35">
      <c r="A46" s="134" t="s">
        <v>239</v>
      </c>
      <c r="B46" s="134"/>
      <c r="C46" s="134"/>
      <c r="D46" s="134"/>
      <c r="E46" s="134"/>
      <c r="F46" s="134"/>
      <c r="G46" s="134"/>
      <c r="H46" s="134"/>
      <c r="I46" s="134"/>
      <c r="J46" s="134"/>
      <c r="K46" s="134"/>
      <c r="L46" s="134"/>
      <c r="M46" s="134"/>
      <c r="N46" s="134"/>
      <c r="O46" s="134"/>
      <c r="P46" s="134"/>
      <c r="Q46" s="134"/>
      <c r="R46" s="134"/>
      <c r="S46" s="134"/>
      <c r="T46" s="134"/>
      <c r="U46" s="134"/>
      <c r="V46" s="134"/>
      <c r="W46" s="134"/>
      <c r="X46" s="134"/>
      <c r="Y46" s="134"/>
      <c r="Z46" s="134"/>
      <c r="AA46" s="134"/>
      <c r="AB46" s="134"/>
      <c r="AC46" s="134"/>
      <c r="AD46" s="134"/>
      <c r="AE46" s="134"/>
      <c r="AF46" s="134"/>
      <c r="AG46" s="134"/>
      <c r="AH46" s="134"/>
      <c r="AI46" s="134"/>
      <c r="AJ46" s="134"/>
      <c r="AK46" s="134"/>
      <c r="AL46" s="134"/>
      <c r="AM46" s="134"/>
    </row>
    <row r="47" spans="1:39" x14ac:dyDescent="0.35">
      <c r="A47" s="96" t="s">
        <v>240</v>
      </c>
      <c r="B47" s="117">
        <f ca="1">SUM(C16:AM16)</f>
        <v>958.52600180799561</v>
      </c>
      <c r="C47" s="128">
        <f ca="1">B47-B28</f>
        <v>0</v>
      </c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AB47" s="86"/>
      <c r="AC47" s="86"/>
      <c r="AD47" s="86"/>
      <c r="AE47" s="86"/>
      <c r="AF47" s="86"/>
      <c r="AG47" s="86"/>
      <c r="AH47" s="86"/>
      <c r="AI47" s="86"/>
      <c r="AJ47" s="86"/>
      <c r="AK47" s="86"/>
      <c r="AL47" s="86"/>
      <c r="AM47" s="86"/>
    </row>
    <row r="48" spans="1:39" x14ac:dyDescent="0.35">
      <c r="A48" s="96" t="s">
        <v>241</v>
      </c>
      <c r="B48" s="117">
        <f ca="1">SUMPRODUCT((C40:AM40&gt;0)*C40:AM40*(1+$C$39)^(36-$C$4:$AM$4))</f>
        <v>3187.5708369573354</v>
      </c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  <c r="AF48" s="86"/>
      <c r="AG48" s="86"/>
      <c r="AH48" s="86"/>
      <c r="AI48" s="86"/>
      <c r="AJ48" s="86"/>
      <c r="AK48" s="86"/>
      <c r="AL48" s="86"/>
      <c r="AM48" s="86"/>
    </row>
    <row r="49" spans="1:39" x14ac:dyDescent="0.35">
      <c r="A49" s="96" t="s">
        <v>242</v>
      </c>
      <c r="B49" s="117">
        <f ca="1">SUMPRODUCT((C40:AM40&lt;0)*C40:AM40/(1+$C$38)^($C$4:$AM$4))</f>
        <v>-1441.3860512143547</v>
      </c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</row>
    <row r="50" spans="1:39" x14ac:dyDescent="0.35">
      <c r="A50" s="96" t="s">
        <v>243</v>
      </c>
      <c r="B50" s="131">
        <f ca="1">(B48/-B49)^(1/36)-1</f>
        <v>2.2290750477997667E-2</v>
      </c>
      <c r="C50" s="128">
        <f ca="1">B50-B41</f>
        <v>0</v>
      </c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</row>
    <row r="51" spans="1:39" x14ac:dyDescent="0.35">
      <c r="A51" s="116"/>
      <c r="B51" s="86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</row>
    <row r="52" spans="1:39" x14ac:dyDescent="0.35">
      <c r="A52" s="86"/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</row>
    <row r="53" spans="1:39" x14ac:dyDescent="0.35">
      <c r="A53" s="134" t="s">
        <v>244</v>
      </c>
      <c r="B53" s="134"/>
      <c r="C53" s="134"/>
      <c r="D53" s="134"/>
      <c r="E53" s="134"/>
      <c r="F53" s="134"/>
      <c r="G53" s="134"/>
      <c r="H53" s="134"/>
      <c r="I53" s="134"/>
      <c r="J53" s="134"/>
      <c r="K53" s="134"/>
      <c r="L53" s="134"/>
      <c r="M53" s="134"/>
      <c r="N53" s="134"/>
      <c r="O53" s="134"/>
      <c r="P53" s="134"/>
      <c r="Q53" s="134"/>
      <c r="R53" s="134"/>
      <c r="S53" s="134"/>
      <c r="T53" s="134"/>
      <c r="U53" s="134"/>
      <c r="V53" s="134"/>
      <c r="W53" s="134"/>
      <c r="X53" s="134"/>
      <c r="Y53" s="134"/>
      <c r="Z53" s="134"/>
      <c r="AA53" s="134"/>
      <c r="AB53" s="134"/>
      <c r="AC53" s="134"/>
      <c r="AD53" s="134"/>
      <c r="AE53" s="134"/>
      <c r="AF53" s="134"/>
      <c r="AG53" s="134"/>
      <c r="AH53" s="134"/>
      <c r="AI53" s="134"/>
      <c r="AJ53" s="134"/>
      <c r="AK53" s="134"/>
      <c r="AL53" s="134"/>
      <c r="AM53" s="134"/>
    </row>
    <row r="54" spans="1:39" x14ac:dyDescent="0.35">
      <c r="A54" s="96" t="s">
        <v>245</v>
      </c>
      <c r="B54" s="124">
        <f>$B$22-0.05</f>
        <v>9.6249999999999988E-2</v>
      </c>
      <c r="C54" s="124">
        <f>$B$22-0.025</f>
        <v>0.12125</v>
      </c>
      <c r="D54" s="125">
        <f>$B$22</f>
        <v>0.14624999999999999</v>
      </c>
      <c r="E54" s="124">
        <f>$B$22+0.025</f>
        <v>0.17124999999999999</v>
      </c>
      <c r="F54" s="124">
        <f>$B$22+0.05</f>
        <v>0.19624999999999998</v>
      </c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  <c r="AF54" s="86"/>
      <c r="AG54" s="86"/>
      <c r="AH54" s="86"/>
      <c r="AI54" s="86"/>
      <c r="AJ54" s="86"/>
      <c r="AK54" s="86"/>
      <c r="AL54" s="86"/>
      <c r="AM54" s="86"/>
    </row>
    <row r="55" spans="1:39" x14ac:dyDescent="0.35">
      <c r="A55" s="96" t="s">
        <v>246</v>
      </c>
      <c r="B55" s="126">
        <f ca="1">$C$15+NPV(B54/12,$D$15:$AM$15)</f>
        <v>1134.7224362983225</v>
      </c>
      <c r="C55" s="126">
        <f ca="1">$C$15+NPV(C54/12,$D$15:$AM$15)</f>
        <v>1043.984827760175</v>
      </c>
      <c r="D55" s="127">
        <f ca="1">$C$15+NPV(D54/12,$D$15:$AM$15)</f>
        <v>958.5260018079955</v>
      </c>
      <c r="E55" s="126">
        <f ca="1">$C$15+NPV(E54/12,$D$15:$AM$15)</f>
        <v>878.01587102821304</v>
      </c>
      <c r="F55" s="126">
        <f ca="1">$C$15+NPV(F54/12,$D$15:$AM$15)</f>
        <v>802.14627756847335</v>
      </c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</row>
    <row r="56" spans="1:39" x14ac:dyDescent="0.35">
      <c r="A56" s="86"/>
      <c r="B56" s="86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</row>
    <row r="57" spans="1:39" x14ac:dyDescent="0.35">
      <c r="A57" s="134" t="s">
        <v>247</v>
      </c>
      <c r="B57" s="134"/>
      <c r="C57" s="134"/>
      <c r="D57" s="134"/>
      <c r="E57" s="134"/>
      <c r="F57" s="134"/>
      <c r="G57" s="134"/>
      <c r="H57" s="134"/>
      <c r="I57" s="134"/>
      <c r="J57" s="134"/>
      <c r="K57" s="134"/>
      <c r="L57" s="134"/>
      <c r="M57" s="134"/>
      <c r="N57" s="134"/>
      <c r="O57" s="134"/>
      <c r="P57" s="134"/>
      <c r="Q57" s="134"/>
      <c r="R57" s="134"/>
      <c r="S57" s="134"/>
      <c r="T57" s="134"/>
      <c r="U57" s="134"/>
      <c r="V57" s="134"/>
      <c r="W57" s="134"/>
      <c r="X57" s="134"/>
      <c r="Y57" s="134"/>
      <c r="Z57" s="134"/>
      <c r="AA57" s="134"/>
      <c r="AB57" s="134"/>
      <c r="AC57" s="134"/>
      <c r="AD57" s="134"/>
      <c r="AE57" s="134"/>
      <c r="AF57" s="134"/>
      <c r="AG57" s="134"/>
      <c r="AH57" s="134"/>
      <c r="AI57" s="134"/>
      <c r="AJ57" s="134"/>
      <c r="AK57" s="134"/>
      <c r="AL57" s="134"/>
      <c r="AM57" s="134"/>
    </row>
    <row r="58" spans="1:39" x14ac:dyDescent="0.35">
      <c r="A58" s="135" t="s">
        <v>248</v>
      </c>
      <c r="B58" s="86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</row>
    <row r="59" spans="1:39" ht="39" customHeight="1" x14ac:dyDescent="0.35">
      <c r="A59" s="136" t="s">
        <v>249</v>
      </c>
      <c r="B59" s="86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</row>
    <row r="60" spans="1:39" x14ac:dyDescent="0.35">
      <c r="A60" s="136" t="s">
        <v>250</v>
      </c>
      <c r="B60" s="86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I60" s="86"/>
      <c r="AJ60" s="86"/>
      <c r="AK60" s="86"/>
      <c r="AL60" s="86"/>
      <c r="AM60" s="86"/>
    </row>
    <row r="61" spans="1:39" ht="28.5" customHeight="1" x14ac:dyDescent="0.35">
      <c r="A61" s="136" t="s">
        <v>251</v>
      </c>
      <c r="B61" s="86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6"/>
      <c r="AG61" s="86"/>
      <c r="AH61" s="86"/>
      <c r="AI61" s="86"/>
      <c r="AJ61" s="86"/>
      <c r="AK61" s="86"/>
      <c r="AL61" s="86"/>
      <c r="AM61" s="86"/>
    </row>
    <row r="62" spans="1:39" ht="31" customHeight="1" x14ac:dyDescent="0.35">
      <c r="A62" s="136" t="s">
        <v>252</v>
      </c>
      <c r="B62" s="86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  <c r="AC62" s="86"/>
      <c r="AD62" s="86"/>
      <c r="AE62" s="86"/>
      <c r="AF62" s="86"/>
      <c r="AG62" s="86"/>
      <c r="AH62" s="86"/>
      <c r="AI62" s="86"/>
      <c r="AJ62" s="86"/>
      <c r="AK62" s="86"/>
      <c r="AL62" s="86"/>
      <c r="AM62" s="86"/>
    </row>
    <row r="63" spans="1:39" ht="37.5" customHeight="1" x14ac:dyDescent="0.35">
      <c r="A63" s="136" t="s">
        <v>253</v>
      </c>
      <c r="B63" s="86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  <c r="AG63" s="86"/>
      <c r="AH63" s="86"/>
      <c r="AI63" s="86"/>
      <c r="AJ63" s="86"/>
      <c r="AK63" s="86"/>
      <c r="AL63" s="86"/>
      <c r="AM63" s="86"/>
    </row>
    <row r="64" spans="1:39" ht="30" customHeight="1" x14ac:dyDescent="0.35">
      <c r="A64" s="136" t="s">
        <v>254</v>
      </c>
      <c r="B64" s="86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  <c r="AF64" s="86"/>
      <c r="AG64" s="86"/>
      <c r="AH64" s="86"/>
      <c r="AI64" s="86"/>
      <c r="AJ64" s="86"/>
      <c r="AK64" s="86"/>
      <c r="AL64" s="86"/>
      <c r="AM64" s="86"/>
    </row>
    <row r="65" spans="1:39" x14ac:dyDescent="0.35">
      <c r="A65" s="135" t="s">
        <v>255</v>
      </c>
      <c r="B65" s="86"/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  <c r="P65" s="86"/>
      <c r="Q65" s="86"/>
      <c r="R65" s="86"/>
      <c r="S65" s="86"/>
      <c r="T65" s="86"/>
      <c r="U65" s="86"/>
      <c r="V65" s="86"/>
      <c r="W65" s="86"/>
      <c r="X65" s="86"/>
      <c r="Y65" s="86"/>
      <c r="Z65" s="86"/>
      <c r="AA65" s="86"/>
      <c r="AB65" s="86"/>
      <c r="AC65" s="86"/>
      <c r="AD65" s="86"/>
      <c r="AE65" s="86"/>
      <c r="AF65" s="86"/>
      <c r="AG65" s="86"/>
      <c r="AH65" s="86"/>
      <c r="AI65" s="86"/>
      <c r="AJ65" s="86"/>
      <c r="AK65" s="86"/>
      <c r="AL65" s="86"/>
      <c r="AM65" s="86"/>
    </row>
    <row r="66" spans="1:39" x14ac:dyDescent="0.35">
      <c r="A66" s="137"/>
      <c r="B66" s="86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  <c r="AF66" s="86"/>
      <c r="AG66" s="86"/>
      <c r="AH66" s="86"/>
      <c r="AI66" s="86"/>
      <c r="AJ66" s="86"/>
      <c r="AK66" s="86"/>
      <c r="AL66" s="86"/>
      <c r="AM66" s="86"/>
    </row>
    <row r="67" spans="1:39" x14ac:dyDescent="0.35">
      <c r="A67" s="135" t="s">
        <v>256</v>
      </c>
      <c r="B67" s="86"/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  <c r="AA67" s="86"/>
      <c r="AB67" s="86"/>
      <c r="AC67" s="86"/>
      <c r="AD67" s="86"/>
      <c r="AE67" s="86"/>
      <c r="AF67" s="86"/>
      <c r="AG67" s="86"/>
      <c r="AH67" s="86"/>
      <c r="AI67" s="86"/>
      <c r="AJ67" s="86"/>
      <c r="AK67" s="86"/>
      <c r="AL67" s="86"/>
      <c r="AM67" s="86"/>
    </row>
    <row r="68" spans="1:39" ht="29" customHeight="1" x14ac:dyDescent="0.35">
      <c r="A68" s="136" t="s">
        <v>257</v>
      </c>
      <c r="B68" s="86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6"/>
      <c r="AE68" s="86"/>
      <c r="AF68" s="86"/>
      <c r="AG68" s="86"/>
      <c r="AH68" s="86"/>
      <c r="AI68" s="86"/>
      <c r="AJ68" s="86"/>
      <c r="AK68" s="86"/>
      <c r="AL68" s="86"/>
      <c r="AM68" s="86"/>
    </row>
    <row r="69" spans="1:39" ht="42" customHeight="1" x14ac:dyDescent="0.35">
      <c r="A69" s="136" t="s">
        <v>258</v>
      </c>
      <c r="B69" s="86"/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  <c r="P69" s="86"/>
      <c r="Q69" s="86"/>
      <c r="R69" s="86"/>
      <c r="S69" s="86"/>
      <c r="T69" s="86"/>
      <c r="U69" s="86"/>
      <c r="V69" s="86"/>
      <c r="W69" s="86"/>
      <c r="X69" s="86"/>
      <c r="Y69" s="86"/>
      <c r="Z69" s="86"/>
      <c r="AA69" s="86"/>
      <c r="AB69" s="86"/>
      <c r="AC69" s="86"/>
      <c r="AD69" s="86"/>
      <c r="AE69" s="86"/>
      <c r="AF69" s="86"/>
      <c r="AG69" s="86"/>
      <c r="AH69" s="86"/>
      <c r="AI69" s="86"/>
      <c r="AJ69" s="86"/>
      <c r="AK69" s="86"/>
      <c r="AL69" s="86"/>
      <c r="AM69" s="86"/>
    </row>
    <row r="70" spans="1:39" ht="36.5" customHeight="1" x14ac:dyDescent="0.35">
      <c r="A70" s="136" t="s">
        <v>259</v>
      </c>
      <c r="B70" s="86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  <c r="AC70" s="86"/>
      <c r="AD70" s="86"/>
      <c r="AE70" s="86"/>
      <c r="AF70" s="86"/>
      <c r="AG70" s="86"/>
      <c r="AH70" s="86"/>
      <c r="AI70" s="86"/>
      <c r="AJ70" s="86"/>
      <c r="AK70" s="86"/>
      <c r="AL70" s="86"/>
      <c r="AM70" s="86"/>
    </row>
    <row r="71" spans="1:39" ht="49.5" customHeight="1" x14ac:dyDescent="0.35">
      <c r="A71" s="135" t="s">
        <v>260</v>
      </c>
      <c r="B71" s="86"/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6"/>
      <c r="AG71" s="86"/>
      <c r="AH71" s="86"/>
      <c r="AI71" s="86"/>
      <c r="AJ71" s="86"/>
      <c r="AK71" s="86"/>
      <c r="AL71" s="86"/>
      <c r="AM71" s="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Предпосылки</vt:lpstr>
      <vt:lpstr>Расчеты</vt:lpstr>
      <vt:lpstr>За 3 года на одном листе</vt:lpstr>
      <vt:lpstr>Объемы 1 год</vt:lpstr>
      <vt:lpstr>ОПУ 1 год</vt:lpstr>
      <vt:lpstr>Объемы и ОПУ по годам</vt:lpstr>
      <vt:lpstr>Баланс по годам</vt:lpstr>
      <vt:lpstr>Графические отчеты</vt:lpstr>
      <vt:lpstr>Инвестиционный анализ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Григорий Смирнов</dc:creator>
  <cp:lastModifiedBy>Григорий Смирнов</cp:lastModifiedBy>
  <dcterms:created xsi:type="dcterms:W3CDTF">2026-09-07T15:15:49Z</dcterms:created>
  <dcterms:modified xsi:type="dcterms:W3CDTF">2026-09-07T15:33:21Z</dcterms:modified>
</cp:coreProperties>
</file>