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7850"/>
  </bookViews>
  <sheets>
    <sheet name="Предпосылки" sheetId="1" r:id="rId1"/>
    <sheet name="Расчеты" sheetId="2" r:id="rId2"/>
    <sheet name="Отчетность по годам" sheetId="3" r:id="rId3"/>
    <sheet name="Юнит-экономика" sheetId="4" r:id="rId4"/>
    <sheet name="Оценка стоимости и сделка" sheetId="5" r:id="rId5"/>
    <sheet name="План-факт март 2022" sheetId="6" r:id="rId6"/>
    <sheet name="Графические отчеты" sheetId="7" r:id="rId7"/>
  </sheets>
  <calcPr calcId="162913"/>
</workbook>
</file>

<file path=xl/calcChain.xml><?xml version="1.0" encoding="utf-8"?>
<calcChain xmlns="http://schemas.openxmlformats.org/spreadsheetml/2006/main">
  <c r="C33" i="7" l="1"/>
  <c r="B33" i="7"/>
  <c r="C32" i="7"/>
  <c r="B32" i="7"/>
  <c r="C31" i="7"/>
  <c r="B31" i="7"/>
  <c r="B27" i="7"/>
  <c r="B26" i="7"/>
  <c r="D22" i="7"/>
  <c r="C22" i="7"/>
  <c r="B22" i="7"/>
  <c r="D21" i="7"/>
  <c r="C21" i="7"/>
  <c r="B21" i="7"/>
  <c r="D20" i="7"/>
  <c r="C20" i="7"/>
  <c r="B20" i="7"/>
  <c r="D19" i="7"/>
  <c r="C19" i="7"/>
  <c r="B19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AK9" i="7"/>
  <c r="AJ9" i="7"/>
  <c r="AI9" i="7"/>
  <c r="AH9" i="7"/>
  <c r="AG9" i="7"/>
  <c r="AF9" i="7"/>
  <c r="AE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AK8" i="7"/>
  <c r="AJ8" i="7"/>
  <c r="AI8" i="7"/>
  <c r="AH8" i="7"/>
  <c r="AG8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B5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B4" i="7"/>
  <c r="E85" i="6"/>
  <c r="E84" i="6"/>
  <c r="E83" i="6"/>
  <c r="E81" i="6"/>
  <c r="D81" i="6"/>
  <c r="C81" i="6"/>
  <c r="B81" i="6"/>
  <c r="E80" i="6"/>
  <c r="D80" i="6"/>
  <c r="C80" i="6"/>
  <c r="B80" i="6"/>
  <c r="E79" i="6"/>
  <c r="D79" i="6"/>
  <c r="C79" i="6"/>
  <c r="B79" i="6"/>
  <c r="E74" i="6"/>
  <c r="E73" i="6"/>
  <c r="E72" i="6"/>
  <c r="E71" i="6"/>
  <c r="E69" i="6"/>
  <c r="D69" i="6"/>
  <c r="C69" i="6"/>
  <c r="B69" i="6"/>
  <c r="E68" i="6"/>
  <c r="D68" i="6"/>
  <c r="C68" i="6"/>
  <c r="B68" i="6"/>
  <c r="E67" i="6"/>
  <c r="D67" i="6"/>
  <c r="C67" i="6"/>
  <c r="B67" i="6"/>
  <c r="E66" i="6"/>
  <c r="D66" i="6"/>
  <c r="C66" i="6"/>
  <c r="B66" i="6"/>
  <c r="C59" i="6"/>
  <c r="C58" i="6"/>
  <c r="C57" i="6"/>
  <c r="D54" i="6"/>
  <c r="C54" i="6"/>
  <c r="B54" i="6"/>
  <c r="F53" i="6"/>
  <c r="D53" i="6"/>
  <c r="C53" i="6"/>
  <c r="B53" i="6"/>
  <c r="D52" i="6"/>
  <c r="C52" i="6"/>
  <c r="B52" i="6"/>
  <c r="F51" i="6"/>
  <c r="D51" i="6"/>
  <c r="C51" i="6"/>
  <c r="B51" i="6"/>
  <c r="D50" i="6"/>
  <c r="C50" i="6"/>
  <c r="B50" i="6"/>
  <c r="F49" i="6"/>
  <c r="D49" i="6"/>
  <c r="C49" i="6"/>
  <c r="B49" i="6"/>
  <c r="D48" i="6"/>
  <c r="C48" i="6"/>
  <c r="B48" i="6"/>
  <c r="F47" i="6"/>
  <c r="D47" i="6"/>
  <c r="C47" i="6"/>
  <c r="B47" i="6"/>
  <c r="D46" i="6"/>
  <c r="C46" i="6"/>
  <c r="B46" i="6"/>
  <c r="F45" i="6"/>
  <c r="D45" i="6"/>
  <c r="C45" i="6"/>
  <c r="B45" i="6"/>
  <c r="F44" i="6"/>
  <c r="D44" i="6"/>
  <c r="C44" i="6"/>
  <c r="B44" i="6"/>
  <c r="F43" i="6"/>
  <c r="D43" i="6"/>
  <c r="C43" i="6"/>
  <c r="B43" i="6"/>
  <c r="D42" i="6"/>
  <c r="C42" i="6"/>
  <c r="B42" i="6"/>
  <c r="F41" i="6"/>
  <c r="D41" i="6"/>
  <c r="C41" i="6"/>
  <c r="B41" i="6"/>
  <c r="E36" i="6"/>
  <c r="D36" i="6"/>
  <c r="C36" i="6"/>
  <c r="E35" i="6"/>
  <c r="D35" i="6"/>
  <c r="C35" i="6"/>
  <c r="E34" i="6"/>
  <c r="D34" i="6"/>
  <c r="C34" i="6"/>
  <c r="E33" i="6"/>
  <c r="D33" i="6"/>
  <c r="C33" i="6"/>
  <c r="E32" i="6"/>
  <c r="D32" i="6"/>
  <c r="C32" i="6"/>
  <c r="E31" i="6"/>
  <c r="D31" i="6"/>
  <c r="C31" i="6"/>
  <c r="E30" i="6"/>
  <c r="D30" i="6"/>
  <c r="C30" i="6"/>
  <c r="E29" i="6"/>
  <c r="D29" i="6"/>
  <c r="C29" i="6"/>
  <c r="E28" i="6"/>
  <c r="D28" i="6"/>
  <c r="C28" i="6"/>
  <c r="E27" i="6"/>
  <c r="D27" i="6"/>
  <c r="C27" i="6"/>
  <c r="E26" i="6"/>
  <c r="D26" i="6"/>
  <c r="C26" i="6"/>
  <c r="E25" i="6"/>
  <c r="D25" i="6"/>
  <c r="C25" i="6"/>
  <c r="E24" i="6"/>
  <c r="D24" i="6"/>
  <c r="C24" i="6"/>
  <c r="E23" i="6"/>
  <c r="D23" i="6"/>
  <c r="C23" i="6"/>
  <c r="E22" i="6"/>
  <c r="D22" i="6"/>
  <c r="C22" i="6"/>
  <c r="E21" i="6"/>
  <c r="D21" i="6"/>
  <c r="C21" i="6"/>
  <c r="E20" i="6"/>
  <c r="D20" i="6"/>
  <c r="C20" i="6"/>
  <c r="E19" i="6"/>
  <c r="D19" i="6"/>
  <c r="C19" i="6"/>
  <c r="E18" i="6"/>
  <c r="D18" i="6"/>
  <c r="C18" i="6"/>
  <c r="E17" i="6"/>
  <c r="D17" i="6"/>
  <c r="C17" i="6"/>
  <c r="E16" i="6"/>
  <c r="D16" i="6"/>
  <c r="C16" i="6"/>
  <c r="E15" i="6"/>
  <c r="D15" i="6"/>
  <c r="C15" i="6"/>
  <c r="E14" i="6"/>
  <c r="D14" i="6"/>
  <c r="C14" i="6"/>
  <c r="E10" i="6"/>
  <c r="D10" i="6"/>
  <c r="C10" i="6"/>
  <c r="B69" i="5"/>
  <c r="B68" i="5"/>
  <c r="B67" i="5"/>
  <c r="B63" i="5"/>
  <c r="B62" i="5"/>
  <c r="C60" i="5"/>
  <c r="B60" i="5"/>
  <c r="C59" i="5"/>
  <c r="B59" i="5"/>
  <c r="C58" i="5"/>
  <c r="B58" i="5"/>
  <c r="C57" i="5"/>
  <c r="B57" i="5"/>
  <c r="C56" i="5"/>
  <c r="B56" i="5"/>
  <c r="C55" i="5"/>
  <c r="B55" i="5"/>
  <c r="B51" i="5"/>
  <c r="B50" i="5"/>
  <c r="E46" i="5"/>
  <c r="C46" i="5"/>
  <c r="B46" i="5"/>
  <c r="E45" i="5"/>
  <c r="C45" i="5"/>
  <c r="B45" i="5"/>
  <c r="E44" i="5"/>
  <c r="C44" i="5"/>
  <c r="B44" i="5"/>
  <c r="E43" i="5"/>
  <c r="C43" i="5"/>
  <c r="B43" i="5"/>
  <c r="E42" i="5"/>
  <c r="C42" i="5"/>
  <c r="B42" i="5"/>
  <c r="E41" i="5"/>
  <c r="C41" i="5"/>
  <c r="B41" i="5"/>
  <c r="E40" i="5"/>
  <c r="C40" i="5"/>
  <c r="B40" i="5"/>
  <c r="E39" i="5"/>
  <c r="C39" i="5"/>
  <c r="B39" i="5"/>
  <c r="E38" i="5"/>
  <c r="C38" i="5"/>
  <c r="B38" i="5"/>
  <c r="E37" i="5"/>
  <c r="C37" i="5"/>
  <c r="B37" i="5"/>
  <c r="E36" i="5"/>
  <c r="C36" i="5"/>
  <c r="B36" i="5"/>
  <c r="E35" i="5"/>
  <c r="C35" i="5"/>
  <c r="B35" i="5"/>
  <c r="E34" i="5"/>
  <c r="C34" i="5"/>
  <c r="B34" i="5"/>
  <c r="E33" i="5"/>
  <c r="C33" i="5"/>
  <c r="B33" i="5"/>
  <c r="E32" i="5"/>
  <c r="C32" i="5"/>
  <c r="B32" i="5"/>
  <c r="E31" i="5"/>
  <c r="C31" i="5"/>
  <c r="B31" i="5"/>
  <c r="E30" i="5"/>
  <c r="C30" i="5"/>
  <c r="B30" i="5"/>
  <c r="E29" i="5"/>
  <c r="C29" i="5"/>
  <c r="B29" i="5"/>
  <c r="E28" i="5"/>
  <c r="C28" i="5"/>
  <c r="B28" i="5"/>
  <c r="E27" i="5"/>
  <c r="C27" i="5"/>
  <c r="B27" i="5"/>
  <c r="E26" i="5"/>
  <c r="C26" i="5"/>
  <c r="B26" i="5"/>
  <c r="E25" i="5"/>
  <c r="C25" i="5"/>
  <c r="B25" i="5"/>
  <c r="E24" i="5"/>
  <c r="C24" i="5"/>
  <c r="B24" i="5"/>
  <c r="E23" i="5"/>
  <c r="C23" i="5"/>
  <c r="B23" i="5"/>
  <c r="E22" i="5"/>
  <c r="C22" i="5"/>
  <c r="B22" i="5"/>
  <c r="E21" i="5"/>
  <c r="C21" i="5"/>
  <c r="B21" i="5"/>
  <c r="E20" i="5"/>
  <c r="C20" i="5"/>
  <c r="B20" i="5"/>
  <c r="E19" i="5"/>
  <c r="C19" i="5"/>
  <c r="B19" i="5"/>
  <c r="E18" i="5"/>
  <c r="C18" i="5"/>
  <c r="B18" i="5"/>
  <c r="E17" i="5"/>
  <c r="C17" i="5"/>
  <c r="B17" i="5"/>
  <c r="E16" i="5"/>
  <c r="C16" i="5"/>
  <c r="B16" i="5"/>
  <c r="E15" i="5"/>
  <c r="C15" i="5"/>
  <c r="B15" i="5"/>
  <c r="E14" i="5"/>
  <c r="C14" i="5"/>
  <c r="B14" i="5"/>
  <c r="E13" i="5"/>
  <c r="C13" i="5"/>
  <c r="B13" i="5"/>
  <c r="E12" i="5"/>
  <c r="C12" i="5"/>
  <c r="B12" i="5"/>
  <c r="E11" i="5"/>
  <c r="C11" i="5"/>
  <c r="B11" i="5"/>
  <c r="B6" i="5"/>
  <c r="B16" i="4"/>
  <c r="B15" i="4"/>
  <c r="B14" i="4"/>
  <c r="B11" i="4"/>
  <c r="B10" i="4"/>
  <c r="B9" i="4"/>
  <c r="B6" i="4"/>
  <c r="B5" i="4"/>
  <c r="B4" i="4"/>
  <c r="E65" i="3"/>
  <c r="D65" i="3"/>
  <c r="C65" i="3"/>
  <c r="E64" i="3"/>
  <c r="D64" i="3"/>
  <c r="C64" i="3"/>
  <c r="E63" i="3"/>
  <c r="D63" i="3"/>
  <c r="C63" i="3"/>
  <c r="E62" i="3"/>
  <c r="D62" i="3"/>
  <c r="C62" i="3"/>
  <c r="B62" i="3"/>
  <c r="E61" i="3"/>
  <c r="D61" i="3"/>
  <c r="C61" i="3"/>
  <c r="B61" i="3"/>
  <c r="D57" i="3"/>
  <c r="C57" i="3"/>
  <c r="B57" i="3"/>
  <c r="D56" i="3"/>
  <c r="C56" i="3"/>
  <c r="B56" i="3"/>
  <c r="D55" i="3"/>
  <c r="C55" i="3"/>
  <c r="B55" i="3"/>
  <c r="D54" i="3"/>
  <c r="C54" i="3"/>
  <c r="B54" i="3"/>
  <c r="D53" i="3"/>
  <c r="C53" i="3"/>
  <c r="B53" i="3"/>
  <c r="D52" i="3"/>
  <c r="C52" i="3"/>
  <c r="B52" i="3"/>
  <c r="D50" i="3"/>
  <c r="C50" i="3"/>
  <c r="B50" i="3"/>
  <c r="D49" i="3"/>
  <c r="C49" i="3"/>
  <c r="B49" i="3"/>
  <c r="D47" i="3"/>
  <c r="C47" i="3"/>
  <c r="B47" i="3"/>
  <c r="D46" i="3"/>
  <c r="C46" i="3"/>
  <c r="B46" i="3"/>
  <c r="D45" i="3"/>
  <c r="C45" i="3"/>
  <c r="B45" i="3"/>
  <c r="D44" i="3"/>
  <c r="C44" i="3"/>
  <c r="B44" i="3"/>
  <c r="D43" i="3"/>
  <c r="C43" i="3"/>
  <c r="B43" i="3"/>
  <c r="D42" i="3"/>
  <c r="C42" i="3"/>
  <c r="B42" i="3"/>
  <c r="D41" i="3"/>
  <c r="C41" i="3"/>
  <c r="B41" i="3"/>
  <c r="D40" i="3"/>
  <c r="C40" i="3"/>
  <c r="B40" i="3"/>
  <c r="E35" i="3"/>
  <c r="D35" i="3"/>
  <c r="C35" i="3"/>
  <c r="B35" i="3"/>
  <c r="E34" i="3"/>
  <c r="D34" i="3"/>
  <c r="C34" i="3"/>
  <c r="B34" i="3"/>
  <c r="E33" i="3"/>
  <c r="D33" i="3"/>
  <c r="C33" i="3"/>
  <c r="B33" i="3"/>
  <c r="E32" i="3"/>
  <c r="D32" i="3"/>
  <c r="C32" i="3"/>
  <c r="B32" i="3"/>
  <c r="E31" i="3"/>
  <c r="D31" i="3"/>
  <c r="C31" i="3"/>
  <c r="B31" i="3"/>
  <c r="E30" i="3"/>
  <c r="D30" i="3"/>
  <c r="C30" i="3"/>
  <c r="B30" i="3"/>
  <c r="E29" i="3"/>
  <c r="D29" i="3"/>
  <c r="C29" i="3"/>
  <c r="B29" i="3"/>
  <c r="E28" i="3"/>
  <c r="D28" i="3"/>
  <c r="C28" i="3"/>
  <c r="B28" i="3"/>
  <c r="E27" i="3"/>
  <c r="D27" i="3"/>
  <c r="C27" i="3"/>
  <c r="B27" i="3"/>
  <c r="E26" i="3"/>
  <c r="D26" i="3"/>
  <c r="C26" i="3"/>
  <c r="B26" i="3"/>
  <c r="E25" i="3"/>
  <c r="D25" i="3"/>
  <c r="C25" i="3"/>
  <c r="B25" i="3"/>
  <c r="E24" i="3"/>
  <c r="D24" i="3"/>
  <c r="C24" i="3"/>
  <c r="B24" i="3"/>
  <c r="E23" i="3"/>
  <c r="D23" i="3"/>
  <c r="C23" i="3"/>
  <c r="B23" i="3"/>
  <c r="E22" i="3"/>
  <c r="D22" i="3"/>
  <c r="C22" i="3"/>
  <c r="B22" i="3"/>
  <c r="E21" i="3"/>
  <c r="D21" i="3"/>
  <c r="C21" i="3"/>
  <c r="B21" i="3"/>
  <c r="E20" i="3"/>
  <c r="D20" i="3"/>
  <c r="C20" i="3"/>
  <c r="B20" i="3"/>
  <c r="D16" i="3"/>
  <c r="C16" i="3"/>
  <c r="B16" i="3"/>
  <c r="D15" i="3"/>
  <c r="C15" i="3"/>
  <c r="B15" i="3"/>
  <c r="D14" i="3"/>
  <c r="C14" i="3"/>
  <c r="B14" i="3"/>
  <c r="D13" i="3"/>
  <c r="C13" i="3"/>
  <c r="B13" i="3"/>
  <c r="D12" i="3"/>
  <c r="C12" i="3"/>
  <c r="B12" i="3"/>
  <c r="D11" i="3"/>
  <c r="C11" i="3"/>
  <c r="B11" i="3"/>
  <c r="D10" i="3"/>
  <c r="C10" i="3"/>
  <c r="B10" i="3"/>
  <c r="D9" i="3"/>
  <c r="C9" i="3"/>
  <c r="B9" i="3"/>
  <c r="D8" i="3"/>
  <c r="C8" i="3"/>
  <c r="B8" i="3"/>
  <c r="D7" i="3"/>
  <c r="C7" i="3"/>
  <c r="B7" i="3"/>
  <c r="D6" i="3"/>
  <c r="C6" i="3"/>
  <c r="B6" i="3"/>
  <c r="AY161" i="2"/>
  <c r="AX161" i="2"/>
  <c r="AW161" i="2"/>
  <c r="AV161" i="2"/>
  <c r="AU161" i="2"/>
  <c r="AT161" i="2"/>
  <c r="AS161" i="2"/>
  <c r="AR161" i="2"/>
  <c r="AQ161" i="2"/>
  <c r="AP161" i="2"/>
  <c r="AO161" i="2"/>
  <c r="AN161" i="2"/>
  <c r="AM161" i="2"/>
  <c r="AL161" i="2"/>
  <c r="AK161" i="2"/>
  <c r="AJ161" i="2"/>
  <c r="AI161" i="2"/>
  <c r="AH161" i="2"/>
  <c r="AG161" i="2"/>
  <c r="AF161" i="2"/>
  <c r="AE161" i="2"/>
  <c r="AD161" i="2"/>
  <c r="AC161" i="2"/>
  <c r="AB161" i="2"/>
  <c r="AA161" i="2"/>
  <c r="Z161" i="2"/>
  <c r="Y161" i="2"/>
  <c r="X161" i="2"/>
  <c r="W161" i="2"/>
  <c r="V161" i="2"/>
  <c r="U161" i="2"/>
  <c r="T161" i="2"/>
  <c r="S161" i="2"/>
  <c r="R161" i="2"/>
  <c r="Q161" i="2"/>
  <c r="P161" i="2"/>
  <c r="AY160" i="2"/>
  <c r="AX160" i="2"/>
  <c r="AW160" i="2"/>
  <c r="AV160" i="2"/>
  <c r="AU160" i="2"/>
  <c r="AT160" i="2"/>
  <c r="AS160" i="2"/>
  <c r="AR160" i="2"/>
  <c r="AQ160" i="2"/>
  <c r="AP160" i="2"/>
  <c r="AO160" i="2"/>
  <c r="AN160" i="2"/>
  <c r="AM160" i="2"/>
  <c r="AL160" i="2"/>
  <c r="AK160" i="2"/>
  <c r="AJ160" i="2"/>
  <c r="AI160" i="2"/>
  <c r="AH160" i="2"/>
  <c r="AG160" i="2"/>
  <c r="AF160" i="2"/>
  <c r="AE160" i="2"/>
  <c r="AD160" i="2"/>
  <c r="AC160" i="2"/>
  <c r="AB160" i="2"/>
  <c r="AA160" i="2"/>
  <c r="Z160" i="2"/>
  <c r="Y160" i="2"/>
  <c r="X160" i="2"/>
  <c r="W160" i="2"/>
  <c r="V160" i="2"/>
  <c r="U160" i="2"/>
  <c r="T160" i="2"/>
  <c r="S160" i="2"/>
  <c r="R160" i="2"/>
  <c r="Q160" i="2"/>
  <c r="P160" i="2"/>
  <c r="AY159" i="2"/>
  <c r="AX159" i="2"/>
  <c r="AW159" i="2"/>
  <c r="AV159" i="2"/>
  <c r="AU159" i="2"/>
  <c r="AT159" i="2"/>
  <c r="AS159" i="2"/>
  <c r="AR159" i="2"/>
  <c r="AQ159" i="2"/>
  <c r="AP159" i="2"/>
  <c r="AO159" i="2"/>
  <c r="AN159" i="2"/>
  <c r="AM159" i="2"/>
  <c r="AL159" i="2"/>
  <c r="AK159" i="2"/>
  <c r="AJ159" i="2"/>
  <c r="AI159" i="2"/>
  <c r="AH159" i="2"/>
  <c r="AG159" i="2"/>
  <c r="AF159" i="2"/>
  <c r="AE159" i="2"/>
  <c r="AD159" i="2"/>
  <c r="AC159" i="2"/>
  <c r="AB159" i="2"/>
  <c r="AA159" i="2"/>
  <c r="Z159" i="2"/>
  <c r="Y159" i="2"/>
  <c r="X159" i="2"/>
  <c r="W159" i="2"/>
  <c r="V159" i="2"/>
  <c r="U159" i="2"/>
  <c r="T159" i="2"/>
  <c r="S159" i="2"/>
  <c r="R159" i="2"/>
  <c r="Q159" i="2"/>
  <c r="P159" i="2"/>
  <c r="AY158" i="2"/>
  <c r="AX158" i="2"/>
  <c r="AW158" i="2"/>
  <c r="AV158" i="2"/>
  <c r="AU158" i="2"/>
  <c r="AT158" i="2"/>
  <c r="AS158" i="2"/>
  <c r="AR158" i="2"/>
  <c r="AQ158" i="2"/>
  <c r="AP158" i="2"/>
  <c r="AO158" i="2"/>
  <c r="AN158" i="2"/>
  <c r="AM158" i="2"/>
  <c r="AL158" i="2"/>
  <c r="AK158" i="2"/>
  <c r="AJ158" i="2"/>
  <c r="AI158" i="2"/>
  <c r="AH158" i="2"/>
  <c r="AG158" i="2"/>
  <c r="AF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S158" i="2"/>
  <c r="R158" i="2"/>
  <c r="Q158" i="2"/>
  <c r="P158" i="2"/>
  <c r="O158" i="2"/>
  <c r="AY157" i="2"/>
  <c r="AX157" i="2"/>
  <c r="AW157" i="2"/>
  <c r="AV157" i="2"/>
  <c r="AU157" i="2"/>
  <c r="AT157" i="2"/>
  <c r="AS157" i="2"/>
  <c r="AR157" i="2"/>
  <c r="AQ157" i="2"/>
  <c r="AP157" i="2"/>
  <c r="AO157" i="2"/>
  <c r="AN157" i="2"/>
  <c r="AM157" i="2"/>
  <c r="AL157" i="2"/>
  <c r="AK157" i="2"/>
  <c r="AJ157" i="2"/>
  <c r="AI157" i="2"/>
  <c r="AH157" i="2"/>
  <c r="AG157" i="2"/>
  <c r="AF157" i="2"/>
  <c r="AE157" i="2"/>
  <c r="AD157" i="2"/>
  <c r="AC157" i="2"/>
  <c r="AB157" i="2"/>
  <c r="AA157" i="2"/>
  <c r="Z157" i="2"/>
  <c r="Y157" i="2"/>
  <c r="X157" i="2"/>
  <c r="W157" i="2"/>
  <c r="V157" i="2"/>
  <c r="U157" i="2"/>
  <c r="T157" i="2"/>
  <c r="S157" i="2"/>
  <c r="R157" i="2"/>
  <c r="Q157" i="2"/>
  <c r="P157" i="2"/>
  <c r="O157" i="2"/>
  <c r="AY154" i="2"/>
  <c r="AX154" i="2"/>
  <c r="AW154" i="2"/>
  <c r="AV154" i="2"/>
  <c r="AU154" i="2"/>
  <c r="AT154" i="2"/>
  <c r="AS154" i="2"/>
  <c r="AR154" i="2"/>
  <c r="AQ154" i="2"/>
  <c r="AP154" i="2"/>
  <c r="AO154" i="2"/>
  <c r="AN154" i="2"/>
  <c r="AM154" i="2"/>
  <c r="AL154" i="2"/>
  <c r="AK154" i="2"/>
  <c r="AJ154" i="2"/>
  <c r="AI154" i="2"/>
  <c r="AH154" i="2"/>
  <c r="AG154" i="2"/>
  <c r="AF154" i="2"/>
  <c r="AE154" i="2"/>
  <c r="AD154" i="2"/>
  <c r="AC154" i="2"/>
  <c r="AB154" i="2"/>
  <c r="AA154" i="2"/>
  <c r="Z154" i="2"/>
  <c r="Y154" i="2"/>
  <c r="X154" i="2"/>
  <c r="W154" i="2"/>
  <c r="V154" i="2"/>
  <c r="U154" i="2"/>
  <c r="T154" i="2"/>
  <c r="S154" i="2"/>
  <c r="R154" i="2"/>
  <c r="Q154" i="2"/>
  <c r="P154" i="2"/>
  <c r="AY152" i="2"/>
  <c r="AX152" i="2"/>
  <c r="AW152" i="2"/>
  <c r="AV152" i="2"/>
  <c r="AU152" i="2"/>
  <c r="AT152" i="2"/>
  <c r="AS152" i="2"/>
  <c r="AR152" i="2"/>
  <c r="AQ152" i="2"/>
  <c r="AP152" i="2"/>
  <c r="AO152" i="2"/>
  <c r="AN152" i="2"/>
  <c r="AM152" i="2"/>
  <c r="AL152" i="2"/>
  <c r="AK152" i="2"/>
  <c r="AJ152" i="2"/>
  <c r="AI152" i="2"/>
  <c r="AH152" i="2"/>
  <c r="AG152" i="2"/>
  <c r="AF152" i="2"/>
  <c r="AE152" i="2"/>
  <c r="AD152" i="2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P152" i="2"/>
  <c r="AY151" i="2"/>
  <c r="AX151" i="2"/>
  <c r="AW151" i="2"/>
  <c r="AV151" i="2"/>
  <c r="AU151" i="2"/>
  <c r="AT151" i="2"/>
  <c r="AS151" i="2"/>
  <c r="AR151" i="2"/>
  <c r="AQ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S151" i="2"/>
  <c r="R151" i="2"/>
  <c r="Q151" i="2"/>
  <c r="P151" i="2"/>
  <c r="AY150" i="2"/>
  <c r="AX150" i="2"/>
  <c r="AW150" i="2"/>
  <c r="AV150" i="2"/>
  <c r="AU150" i="2"/>
  <c r="AT150" i="2"/>
  <c r="AS150" i="2"/>
  <c r="AR150" i="2"/>
  <c r="AQ150" i="2"/>
  <c r="AP150" i="2"/>
  <c r="AO150" i="2"/>
  <c r="AN150" i="2"/>
  <c r="AM150" i="2"/>
  <c r="AL150" i="2"/>
  <c r="AK150" i="2"/>
  <c r="AJ150" i="2"/>
  <c r="AI150" i="2"/>
  <c r="AH150" i="2"/>
  <c r="AG150" i="2"/>
  <c r="AF150" i="2"/>
  <c r="AE150" i="2"/>
  <c r="AD150" i="2"/>
  <c r="AC150" i="2"/>
  <c r="AB150" i="2"/>
  <c r="AA150" i="2"/>
  <c r="Z150" i="2"/>
  <c r="Y150" i="2"/>
  <c r="X150" i="2"/>
  <c r="W150" i="2"/>
  <c r="V150" i="2"/>
  <c r="U150" i="2"/>
  <c r="T150" i="2"/>
  <c r="S150" i="2"/>
  <c r="R150" i="2"/>
  <c r="Q150" i="2"/>
  <c r="P150" i="2"/>
  <c r="AY148" i="2"/>
  <c r="AX148" i="2"/>
  <c r="AW148" i="2"/>
  <c r="AV148" i="2"/>
  <c r="AU148" i="2"/>
  <c r="AT148" i="2"/>
  <c r="AS148" i="2"/>
  <c r="AR148" i="2"/>
  <c r="AQ148" i="2"/>
  <c r="AP148" i="2"/>
  <c r="AO148" i="2"/>
  <c r="AN148" i="2"/>
  <c r="AM148" i="2"/>
  <c r="AL148" i="2"/>
  <c r="AK148" i="2"/>
  <c r="AJ148" i="2"/>
  <c r="AI148" i="2"/>
  <c r="AH148" i="2"/>
  <c r="AG148" i="2"/>
  <c r="AF148" i="2"/>
  <c r="AE148" i="2"/>
  <c r="AD148" i="2"/>
  <c r="AC148" i="2"/>
  <c r="AB148" i="2"/>
  <c r="AA148" i="2"/>
  <c r="Z148" i="2"/>
  <c r="Y148" i="2"/>
  <c r="X148" i="2"/>
  <c r="W148" i="2"/>
  <c r="V148" i="2"/>
  <c r="U148" i="2"/>
  <c r="T148" i="2"/>
  <c r="S148" i="2"/>
  <c r="R148" i="2"/>
  <c r="Q148" i="2"/>
  <c r="P148" i="2"/>
  <c r="AY147" i="2"/>
  <c r="AX147" i="2"/>
  <c r="AW147" i="2"/>
  <c r="AV147" i="2"/>
  <c r="AU147" i="2"/>
  <c r="AT147" i="2"/>
  <c r="AS147" i="2"/>
  <c r="AR147" i="2"/>
  <c r="AQ147" i="2"/>
  <c r="AP147" i="2"/>
  <c r="AO147" i="2"/>
  <c r="AN147" i="2"/>
  <c r="AM147" i="2"/>
  <c r="AL147" i="2"/>
  <c r="AK147" i="2"/>
  <c r="AJ147" i="2"/>
  <c r="AI147" i="2"/>
  <c r="AH147" i="2"/>
  <c r="AG147" i="2"/>
  <c r="AF147" i="2"/>
  <c r="AE147" i="2"/>
  <c r="AD147" i="2"/>
  <c r="AC147" i="2"/>
  <c r="AB147" i="2"/>
  <c r="AA147" i="2"/>
  <c r="Z147" i="2"/>
  <c r="Y147" i="2"/>
  <c r="X147" i="2"/>
  <c r="W147" i="2"/>
  <c r="V147" i="2"/>
  <c r="U147" i="2"/>
  <c r="T147" i="2"/>
  <c r="S147" i="2"/>
  <c r="R147" i="2"/>
  <c r="Q147" i="2"/>
  <c r="P147" i="2"/>
  <c r="AY146" i="2"/>
  <c r="AX146" i="2"/>
  <c r="AW146" i="2"/>
  <c r="AV146" i="2"/>
  <c r="AU146" i="2"/>
  <c r="AT146" i="2"/>
  <c r="AS146" i="2"/>
  <c r="AR146" i="2"/>
  <c r="AQ146" i="2"/>
  <c r="AP146" i="2"/>
  <c r="AO146" i="2"/>
  <c r="AN146" i="2"/>
  <c r="AM146" i="2"/>
  <c r="AL146" i="2"/>
  <c r="AK146" i="2"/>
  <c r="AJ146" i="2"/>
  <c r="AI146" i="2"/>
  <c r="AH146" i="2"/>
  <c r="AG146" i="2"/>
  <c r="AF146" i="2"/>
  <c r="AE146" i="2"/>
  <c r="AD146" i="2"/>
  <c r="AC146" i="2"/>
  <c r="AB146" i="2"/>
  <c r="AA146" i="2"/>
  <c r="Z146" i="2"/>
  <c r="Y146" i="2"/>
  <c r="X146" i="2"/>
  <c r="W146" i="2"/>
  <c r="V146" i="2"/>
  <c r="U146" i="2"/>
  <c r="T146" i="2"/>
  <c r="S146" i="2"/>
  <c r="R146" i="2"/>
  <c r="Q146" i="2"/>
  <c r="P146" i="2"/>
  <c r="AY143" i="2"/>
  <c r="AX143" i="2"/>
  <c r="AW143" i="2"/>
  <c r="AV143" i="2"/>
  <c r="AU143" i="2"/>
  <c r="AT143" i="2"/>
  <c r="AS143" i="2"/>
  <c r="AR143" i="2"/>
  <c r="AQ143" i="2"/>
  <c r="AP143" i="2"/>
  <c r="AO143" i="2"/>
  <c r="AN143" i="2"/>
  <c r="AM143" i="2"/>
  <c r="AL143" i="2"/>
  <c r="AK143" i="2"/>
  <c r="AJ143" i="2"/>
  <c r="AI143" i="2"/>
  <c r="AH143" i="2"/>
  <c r="AG143" i="2"/>
  <c r="AF143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S143" i="2"/>
  <c r="R143" i="2"/>
  <c r="Q143" i="2"/>
  <c r="P143" i="2"/>
  <c r="AY142" i="2"/>
  <c r="AX142" i="2"/>
  <c r="AW142" i="2"/>
  <c r="AV142" i="2"/>
  <c r="AU142" i="2"/>
  <c r="AT142" i="2"/>
  <c r="AS142" i="2"/>
  <c r="AR142" i="2"/>
  <c r="AQ142" i="2"/>
  <c r="AP142" i="2"/>
  <c r="AO142" i="2"/>
  <c r="AN142" i="2"/>
  <c r="AM142" i="2"/>
  <c r="AL142" i="2"/>
  <c r="AK142" i="2"/>
  <c r="AJ142" i="2"/>
  <c r="AI142" i="2"/>
  <c r="AH142" i="2"/>
  <c r="AG142" i="2"/>
  <c r="AF142" i="2"/>
  <c r="AE142" i="2"/>
  <c r="AD142" i="2"/>
  <c r="AC142" i="2"/>
  <c r="AB142" i="2"/>
  <c r="AA142" i="2"/>
  <c r="Z142" i="2"/>
  <c r="Y142" i="2"/>
  <c r="X142" i="2"/>
  <c r="W142" i="2"/>
  <c r="V142" i="2"/>
  <c r="U142" i="2"/>
  <c r="T142" i="2"/>
  <c r="S142" i="2"/>
  <c r="R142" i="2"/>
  <c r="Q142" i="2"/>
  <c r="P142" i="2"/>
  <c r="AY139" i="2"/>
  <c r="AX139" i="2"/>
  <c r="AW139" i="2"/>
  <c r="AV139" i="2"/>
  <c r="AU139" i="2"/>
  <c r="AT139" i="2"/>
  <c r="AS139" i="2"/>
  <c r="AR139" i="2"/>
  <c r="AQ139" i="2"/>
  <c r="AP139" i="2"/>
  <c r="AO139" i="2"/>
  <c r="AN139" i="2"/>
  <c r="AM139" i="2"/>
  <c r="AL139" i="2"/>
  <c r="AK139" i="2"/>
  <c r="AJ139" i="2"/>
  <c r="AI139" i="2"/>
  <c r="AH139" i="2"/>
  <c r="AG139" i="2"/>
  <c r="AF139" i="2"/>
  <c r="AE139" i="2"/>
  <c r="AD139" i="2"/>
  <c r="AC139" i="2"/>
  <c r="AB139" i="2"/>
  <c r="AA139" i="2"/>
  <c r="Z139" i="2"/>
  <c r="Y139" i="2"/>
  <c r="X139" i="2"/>
  <c r="W139" i="2"/>
  <c r="V139" i="2"/>
  <c r="U139" i="2"/>
  <c r="T139" i="2"/>
  <c r="S139" i="2"/>
  <c r="R139" i="2"/>
  <c r="Q139" i="2"/>
  <c r="P139" i="2"/>
  <c r="AY138" i="2"/>
  <c r="AX138" i="2"/>
  <c r="AW138" i="2"/>
  <c r="AV138" i="2"/>
  <c r="AU138" i="2"/>
  <c r="AT138" i="2"/>
  <c r="AS138" i="2"/>
  <c r="AR138" i="2"/>
  <c r="AQ138" i="2"/>
  <c r="AP138" i="2"/>
  <c r="AO138" i="2"/>
  <c r="AN138" i="2"/>
  <c r="AM138" i="2"/>
  <c r="AL138" i="2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AY137" i="2"/>
  <c r="AX137" i="2"/>
  <c r="AW137" i="2"/>
  <c r="AV137" i="2"/>
  <c r="AU137" i="2"/>
  <c r="AT137" i="2"/>
  <c r="AS137" i="2"/>
  <c r="AR137" i="2"/>
  <c r="AQ137" i="2"/>
  <c r="AP137" i="2"/>
  <c r="AO137" i="2"/>
  <c r="AN137" i="2"/>
  <c r="AM137" i="2"/>
  <c r="AL137" i="2"/>
  <c r="AK137" i="2"/>
  <c r="AJ137" i="2"/>
  <c r="AI137" i="2"/>
  <c r="AH137" i="2"/>
  <c r="AG137" i="2"/>
  <c r="AF137" i="2"/>
  <c r="AE137" i="2"/>
  <c r="AD137" i="2"/>
  <c r="AC137" i="2"/>
  <c r="AB137" i="2"/>
  <c r="AA137" i="2"/>
  <c r="Z137" i="2"/>
  <c r="Y137" i="2"/>
  <c r="X137" i="2"/>
  <c r="W137" i="2"/>
  <c r="V137" i="2"/>
  <c r="U137" i="2"/>
  <c r="T137" i="2"/>
  <c r="S137" i="2"/>
  <c r="R137" i="2"/>
  <c r="Q137" i="2"/>
  <c r="P137" i="2"/>
  <c r="AY136" i="2"/>
  <c r="AX136" i="2"/>
  <c r="AW136" i="2"/>
  <c r="AV136" i="2"/>
  <c r="AU136" i="2"/>
  <c r="AT136" i="2"/>
  <c r="AS136" i="2"/>
  <c r="AR136" i="2"/>
  <c r="AQ136" i="2"/>
  <c r="AP136" i="2"/>
  <c r="AO136" i="2"/>
  <c r="AN136" i="2"/>
  <c r="AM136" i="2"/>
  <c r="AL136" i="2"/>
  <c r="AK136" i="2"/>
  <c r="AJ136" i="2"/>
  <c r="AI136" i="2"/>
  <c r="AH136" i="2"/>
  <c r="AG136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AY135" i="2"/>
  <c r="AX135" i="2"/>
  <c r="AW135" i="2"/>
  <c r="AV135" i="2"/>
  <c r="AU135" i="2"/>
  <c r="AT135" i="2"/>
  <c r="AS135" i="2"/>
  <c r="AR135" i="2"/>
  <c r="AQ135" i="2"/>
  <c r="AP135" i="2"/>
  <c r="AO135" i="2"/>
  <c r="AN135" i="2"/>
  <c r="AM135" i="2"/>
  <c r="AL135" i="2"/>
  <c r="AK135" i="2"/>
  <c r="AJ135" i="2"/>
  <c r="AI135" i="2"/>
  <c r="AH135" i="2"/>
  <c r="AG135" i="2"/>
  <c r="AF135" i="2"/>
  <c r="AE135" i="2"/>
  <c r="AD135" i="2"/>
  <c r="AC135" i="2"/>
  <c r="AB135" i="2"/>
  <c r="AA135" i="2"/>
  <c r="Z135" i="2"/>
  <c r="Y135" i="2"/>
  <c r="X135" i="2"/>
  <c r="W135" i="2"/>
  <c r="V135" i="2"/>
  <c r="U135" i="2"/>
  <c r="T135" i="2"/>
  <c r="S135" i="2"/>
  <c r="R135" i="2"/>
  <c r="Q135" i="2"/>
  <c r="P135" i="2"/>
  <c r="AY134" i="2"/>
  <c r="AX134" i="2"/>
  <c r="AW134" i="2"/>
  <c r="AV134" i="2"/>
  <c r="AU134" i="2"/>
  <c r="AT134" i="2"/>
  <c r="AS134" i="2"/>
  <c r="AR134" i="2"/>
  <c r="AQ134" i="2"/>
  <c r="AP134" i="2"/>
  <c r="AO134" i="2"/>
  <c r="AN134" i="2"/>
  <c r="AM134" i="2"/>
  <c r="AL134" i="2"/>
  <c r="AK134" i="2"/>
  <c r="AJ134" i="2"/>
  <c r="AI134" i="2"/>
  <c r="AH134" i="2"/>
  <c r="AG134" i="2"/>
  <c r="AF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AY133" i="2"/>
  <c r="AX133" i="2"/>
  <c r="AW133" i="2"/>
  <c r="AV133" i="2"/>
  <c r="AU133" i="2"/>
  <c r="AT133" i="2"/>
  <c r="AS133" i="2"/>
  <c r="AR133" i="2"/>
  <c r="AQ133" i="2"/>
  <c r="AP133" i="2"/>
  <c r="AO133" i="2"/>
  <c r="AN133" i="2"/>
  <c r="AM133" i="2"/>
  <c r="AL133" i="2"/>
  <c r="AK133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AY132" i="2"/>
  <c r="AX132" i="2"/>
  <c r="AW132" i="2"/>
  <c r="AV132" i="2"/>
  <c r="AU132" i="2"/>
  <c r="AT132" i="2"/>
  <c r="AS132" i="2"/>
  <c r="AR132" i="2"/>
  <c r="AQ132" i="2"/>
  <c r="AP132" i="2"/>
  <c r="AO132" i="2"/>
  <c r="AN132" i="2"/>
  <c r="AM132" i="2"/>
  <c r="AL132" i="2"/>
  <c r="AK132" i="2"/>
  <c r="AJ132" i="2"/>
  <c r="AI132" i="2"/>
  <c r="AH132" i="2"/>
  <c r="AG132" i="2"/>
  <c r="AF132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AY128" i="2"/>
  <c r="AX128" i="2"/>
  <c r="AW128" i="2"/>
  <c r="AV128" i="2"/>
  <c r="AU128" i="2"/>
  <c r="AT128" i="2"/>
  <c r="AS128" i="2"/>
  <c r="AR128" i="2"/>
  <c r="AQ128" i="2"/>
  <c r="AP128" i="2"/>
  <c r="AO128" i="2"/>
  <c r="AN128" i="2"/>
  <c r="AM128" i="2"/>
  <c r="AL128" i="2"/>
  <c r="AK128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P128" i="2"/>
  <c r="O128" i="2"/>
  <c r="AY126" i="2"/>
  <c r="AX126" i="2"/>
  <c r="AW126" i="2"/>
  <c r="AV126" i="2"/>
  <c r="AU126" i="2"/>
  <c r="AT126" i="2"/>
  <c r="AS126" i="2"/>
  <c r="AR126" i="2"/>
  <c r="AQ126" i="2"/>
  <c r="AP126" i="2"/>
  <c r="AO126" i="2"/>
  <c r="AN126" i="2"/>
  <c r="AM126" i="2"/>
  <c r="AL126" i="2"/>
  <c r="AK126" i="2"/>
  <c r="AJ126" i="2"/>
  <c r="AI126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AY125" i="2"/>
  <c r="AX125" i="2"/>
  <c r="AW125" i="2"/>
  <c r="AV125" i="2"/>
  <c r="AU125" i="2"/>
  <c r="AT125" i="2"/>
  <c r="AS125" i="2"/>
  <c r="AR125" i="2"/>
  <c r="AQ125" i="2"/>
  <c r="AP125" i="2"/>
  <c r="AO125" i="2"/>
  <c r="AN125" i="2"/>
  <c r="AM125" i="2"/>
  <c r="AL125" i="2"/>
  <c r="AK125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AY124" i="2"/>
  <c r="AX124" i="2"/>
  <c r="AW124" i="2"/>
  <c r="AV124" i="2"/>
  <c r="AU124" i="2"/>
  <c r="AT124" i="2"/>
  <c r="AS124" i="2"/>
  <c r="AR124" i="2"/>
  <c r="AQ124" i="2"/>
  <c r="AP124" i="2"/>
  <c r="AO124" i="2"/>
  <c r="AN124" i="2"/>
  <c r="AM124" i="2"/>
  <c r="AL124" i="2"/>
  <c r="AK124" i="2"/>
  <c r="AJ124" i="2"/>
  <c r="AI124" i="2"/>
  <c r="AH124" i="2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S124" i="2"/>
  <c r="R124" i="2"/>
  <c r="Q124" i="2"/>
  <c r="P124" i="2"/>
  <c r="O124" i="2"/>
  <c r="AY123" i="2"/>
  <c r="AX123" i="2"/>
  <c r="AW123" i="2"/>
  <c r="AV123" i="2"/>
  <c r="AU123" i="2"/>
  <c r="AT123" i="2"/>
  <c r="AS123" i="2"/>
  <c r="AR123" i="2"/>
  <c r="AQ123" i="2"/>
  <c r="AP123" i="2"/>
  <c r="AO123" i="2"/>
  <c r="AN123" i="2"/>
  <c r="AM123" i="2"/>
  <c r="AL123" i="2"/>
  <c r="AK123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AY122" i="2"/>
  <c r="AX122" i="2"/>
  <c r="AW122" i="2"/>
  <c r="AV122" i="2"/>
  <c r="AU122" i="2"/>
  <c r="AT122" i="2"/>
  <c r="AS122" i="2"/>
  <c r="AR122" i="2"/>
  <c r="AQ122" i="2"/>
  <c r="AP122" i="2"/>
  <c r="AO122" i="2"/>
  <c r="AN122" i="2"/>
  <c r="AM122" i="2"/>
  <c r="AL122" i="2"/>
  <c r="AK122" i="2"/>
  <c r="AJ122" i="2"/>
  <c r="AI122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AY121" i="2"/>
  <c r="AX121" i="2"/>
  <c r="AW121" i="2"/>
  <c r="AV121" i="2"/>
  <c r="AU121" i="2"/>
  <c r="AT121" i="2"/>
  <c r="AS121" i="2"/>
  <c r="AR121" i="2"/>
  <c r="AQ121" i="2"/>
  <c r="AP121" i="2"/>
  <c r="AO121" i="2"/>
  <c r="AN121" i="2"/>
  <c r="AM121" i="2"/>
  <c r="AL121" i="2"/>
  <c r="AK121" i="2"/>
  <c r="AJ121" i="2"/>
  <c r="AI121" i="2"/>
  <c r="AH121" i="2"/>
  <c r="AG121" i="2"/>
  <c r="AF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AY120" i="2"/>
  <c r="AX120" i="2"/>
  <c r="AW120" i="2"/>
  <c r="AV120" i="2"/>
  <c r="AU120" i="2"/>
  <c r="AT120" i="2"/>
  <c r="AS120" i="2"/>
  <c r="AR120" i="2"/>
  <c r="AQ120" i="2"/>
  <c r="AP120" i="2"/>
  <c r="AO120" i="2"/>
  <c r="AN120" i="2"/>
  <c r="AM120" i="2"/>
  <c r="AL120" i="2"/>
  <c r="AK120" i="2"/>
  <c r="AJ120" i="2"/>
  <c r="AI120" i="2"/>
  <c r="AH120" i="2"/>
  <c r="AG120" i="2"/>
  <c r="AF120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AY119" i="2"/>
  <c r="AX119" i="2"/>
  <c r="AW119" i="2"/>
  <c r="AV119" i="2"/>
  <c r="AU119" i="2"/>
  <c r="AT119" i="2"/>
  <c r="AS119" i="2"/>
  <c r="AR119" i="2"/>
  <c r="AQ119" i="2"/>
  <c r="AP119" i="2"/>
  <c r="AO119" i="2"/>
  <c r="AN119" i="2"/>
  <c r="AM119" i="2"/>
  <c r="AL119" i="2"/>
  <c r="AK119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AY118" i="2"/>
  <c r="AX118" i="2"/>
  <c r="AW118" i="2"/>
  <c r="AV118" i="2"/>
  <c r="AU118" i="2"/>
  <c r="AT118" i="2"/>
  <c r="AS118" i="2"/>
  <c r="AR118" i="2"/>
  <c r="AQ118" i="2"/>
  <c r="AP118" i="2"/>
  <c r="AO118" i="2"/>
  <c r="AN118" i="2"/>
  <c r="AM118" i="2"/>
  <c r="AL118" i="2"/>
  <c r="AK118" i="2"/>
  <c r="AJ118" i="2"/>
  <c r="AI118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S118" i="2"/>
  <c r="R118" i="2"/>
  <c r="Q118" i="2"/>
  <c r="P118" i="2"/>
  <c r="O118" i="2"/>
  <c r="AY116" i="2"/>
  <c r="AX116" i="2"/>
  <c r="AW116" i="2"/>
  <c r="AV116" i="2"/>
  <c r="AU116" i="2"/>
  <c r="AT116" i="2"/>
  <c r="AS116" i="2"/>
  <c r="AR116" i="2"/>
  <c r="AQ116" i="2"/>
  <c r="AP116" i="2"/>
  <c r="AO116" i="2"/>
  <c r="AN116" i="2"/>
  <c r="AM116" i="2"/>
  <c r="AL116" i="2"/>
  <c r="AK116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AY115" i="2"/>
  <c r="AX115" i="2"/>
  <c r="AW115" i="2"/>
  <c r="AV115" i="2"/>
  <c r="AU115" i="2"/>
  <c r="AT115" i="2"/>
  <c r="AS115" i="2"/>
  <c r="AR115" i="2"/>
  <c r="AQ115" i="2"/>
  <c r="AP115" i="2"/>
  <c r="AO115" i="2"/>
  <c r="AN115" i="2"/>
  <c r="AM115" i="2"/>
  <c r="AL115" i="2"/>
  <c r="AK115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AY114" i="2"/>
  <c r="AX114" i="2"/>
  <c r="AW114" i="2"/>
  <c r="AV114" i="2"/>
  <c r="AU114" i="2"/>
  <c r="AT114" i="2"/>
  <c r="AS114" i="2"/>
  <c r="AR114" i="2"/>
  <c r="AQ114" i="2"/>
  <c r="AP114" i="2"/>
  <c r="AO114" i="2"/>
  <c r="AN114" i="2"/>
  <c r="AM114" i="2"/>
  <c r="AL114" i="2"/>
  <c r="AK114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AY113" i="2"/>
  <c r="AX113" i="2"/>
  <c r="AW113" i="2"/>
  <c r="AV113" i="2"/>
  <c r="AU113" i="2"/>
  <c r="AT113" i="2"/>
  <c r="AS113" i="2"/>
  <c r="AR113" i="2"/>
  <c r="AQ113" i="2"/>
  <c r="AP113" i="2"/>
  <c r="AO113" i="2"/>
  <c r="AN113" i="2"/>
  <c r="AM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AY112" i="2"/>
  <c r="AX112" i="2"/>
  <c r="AW112" i="2"/>
  <c r="AV112" i="2"/>
  <c r="AU112" i="2"/>
  <c r="AT112" i="2"/>
  <c r="AS112" i="2"/>
  <c r="AR112" i="2"/>
  <c r="AQ112" i="2"/>
  <c r="AP112" i="2"/>
  <c r="AO112" i="2"/>
  <c r="AN112" i="2"/>
  <c r="AM112" i="2"/>
  <c r="AL112" i="2"/>
  <c r="AK112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AY111" i="2"/>
  <c r="AX111" i="2"/>
  <c r="AW111" i="2"/>
  <c r="AV111" i="2"/>
  <c r="AU111" i="2"/>
  <c r="AT111" i="2"/>
  <c r="AS111" i="2"/>
  <c r="AR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AY110" i="2"/>
  <c r="AX110" i="2"/>
  <c r="AW110" i="2"/>
  <c r="AV110" i="2"/>
  <c r="AU110" i="2"/>
  <c r="AT110" i="2"/>
  <c r="AS110" i="2"/>
  <c r="AR110" i="2"/>
  <c r="AQ110" i="2"/>
  <c r="AP110" i="2"/>
  <c r="AO110" i="2"/>
  <c r="AN110" i="2"/>
  <c r="AM110" i="2"/>
  <c r="AL110" i="2"/>
  <c r="AK110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AY107" i="2"/>
  <c r="AX107" i="2"/>
  <c r="AW107" i="2"/>
  <c r="AV107" i="2"/>
  <c r="AU107" i="2"/>
  <c r="AT107" i="2"/>
  <c r="AS107" i="2"/>
  <c r="AR107" i="2"/>
  <c r="AQ107" i="2"/>
  <c r="AP107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AY106" i="2"/>
  <c r="AX106" i="2"/>
  <c r="AW106" i="2"/>
  <c r="AV106" i="2"/>
  <c r="AU106" i="2"/>
  <c r="AT106" i="2"/>
  <c r="AS106" i="2"/>
  <c r="AR106" i="2"/>
  <c r="AQ106" i="2"/>
  <c r="AP106" i="2"/>
  <c r="AO106" i="2"/>
  <c r="AN106" i="2"/>
  <c r="AM106" i="2"/>
  <c r="AL106" i="2"/>
  <c r="AK106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AY103" i="2"/>
  <c r="AX103" i="2"/>
  <c r="AW103" i="2"/>
  <c r="AV103" i="2"/>
  <c r="AU103" i="2"/>
  <c r="AT103" i="2"/>
  <c r="AS103" i="2"/>
  <c r="AR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AY102" i="2"/>
  <c r="AX102" i="2"/>
  <c r="AW102" i="2"/>
  <c r="AV102" i="2"/>
  <c r="AU102" i="2"/>
  <c r="AT102" i="2"/>
  <c r="AS102" i="2"/>
  <c r="AR102" i="2"/>
  <c r="AQ102" i="2"/>
  <c r="AP102" i="2"/>
  <c r="AO102" i="2"/>
  <c r="AN102" i="2"/>
  <c r="AM102" i="2"/>
  <c r="AL102" i="2"/>
  <c r="AK102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AY101" i="2"/>
  <c r="AX101" i="2"/>
  <c r="AW101" i="2"/>
  <c r="AV101" i="2"/>
  <c r="AU101" i="2"/>
  <c r="AT101" i="2"/>
  <c r="AS101" i="2"/>
  <c r="AR101" i="2"/>
  <c r="AQ101" i="2"/>
  <c r="AP101" i="2"/>
  <c r="AO101" i="2"/>
  <c r="AN101" i="2"/>
  <c r="AM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AY98" i="2"/>
  <c r="AX98" i="2"/>
  <c r="AW98" i="2"/>
  <c r="AV98" i="2"/>
  <c r="AU98" i="2"/>
  <c r="AT98" i="2"/>
  <c r="AS98" i="2"/>
  <c r="AR98" i="2"/>
  <c r="AQ98" i="2"/>
  <c r="AP98" i="2"/>
  <c r="AO98" i="2"/>
  <c r="AN98" i="2"/>
  <c r="AM98" i="2"/>
  <c r="AL98" i="2"/>
  <c r="AK98" i="2"/>
  <c r="AJ98" i="2"/>
  <c r="AI98" i="2"/>
  <c r="AH98" i="2"/>
  <c r="AG98" i="2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AY97" i="2"/>
  <c r="AX97" i="2"/>
  <c r="AW97" i="2"/>
  <c r="AV97" i="2"/>
  <c r="AU97" i="2"/>
  <c r="AT97" i="2"/>
  <c r="AS97" i="2"/>
  <c r="AR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AY96" i="2"/>
  <c r="AX96" i="2"/>
  <c r="AW96" i="2"/>
  <c r="AV96" i="2"/>
  <c r="AU96" i="2"/>
  <c r="AT96" i="2"/>
  <c r="AS96" i="2"/>
  <c r="AR96" i="2"/>
  <c r="AQ96" i="2"/>
  <c r="AP96" i="2"/>
  <c r="AO96" i="2"/>
  <c r="AN96" i="2"/>
  <c r="AM96" i="2"/>
  <c r="AL96" i="2"/>
  <c r="AK96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AY95" i="2"/>
  <c r="AX95" i="2"/>
  <c r="AW95" i="2"/>
  <c r="AV95" i="2"/>
  <c r="AU95" i="2"/>
  <c r="AT95" i="2"/>
  <c r="AS95" i="2"/>
  <c r="AR95" i="2"/>
  <c r="AQ95" i="2"/>
  <c r="AP95" i="2"/>
  <c r="AO95" i="2"/>
  <c r="AN95" i="2"/>
  <c r="AM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AY94" i="2"/>
  <c r="AX94" i="2"/>
  <c r="AW94" i="2"/>
  <c r="AV94" i="2"/>
  <c r="AU94" i="2"/>
  <c r="AT94" i="2"/>
  <c r="AS94" i="2"/>
  <c r="AR94" i="2"/>
  <c r="AQ94" i="2"/>
  <c r="AP94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AY92" i="2"/>
  <c r="AX92" i="2"/>
  <c r="AW92" i="2"/>
  <c r="AV92" i="2"/>
  <c r="AU92" i="2"/>
  <c r="AT92" i="2"/>
  <c r="AS92" i="2"/>
  <c r="AR92" i="2"/>
  <c r="AQ92" i="2"/>
  <c r="AP92" i="2"/>
  <c r="AO92" i="2"/>
  <c r="AN92" i="2"/>
  <c r="AM92" i="2"/>
  <c r="AL92" i="2"/>
  <c r="AK92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L91" i="2"/>
  <c r="AK91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AY88" i="2"/>
  <c r="AX88" i="2"/>
  <c r="AW88" i="2"/>
  <c r="AV88" i="2"/>
  <c r="AU88" i="2"/>
  <c r="AT88" i="2"/>
  <c r="AS88" i="2"/>
  <c r="AR88" i="2"/>
  <c r="AQ88" i="2"/>
  <c r="AP88" i="2"/>
  <c r="AO88" i="2"/>
  <c r="AN88" i="2"/>
  <c r="AM88" i="2"/>
  <c r="AL88" i="2"/>
  <c r="AK88" i="2"/>
  <c r="AJ88" i="2"/>
  <c r="AI88" i="2"/>
  <c r="AH88" i="2"/>
  <c r="AG88" i="2"/>
  <c r="AF88" i="2"/>
  <c r="AE88" i="2"/>
  <c r="AD88" i="2"/>
  <c r="AC88" i="2"/>
  <c r="AB88" i="2"/>
  <c r="AA88" i="2"/>
  <c r="Z88" i="2"/>
  <c r="Y88" i="2"/>
  <c r="X88" i="2"/>
  <c r="W88" i="2"/>
  <c r="V88" i="2"/>
  <c r="U88" i="2"/>
  <c r="T88" i="2"/>
  <c r="S88" i="2"/>
  <c r="R88" i="2"/>
  <c r="Q88" i="2"/>
  <c r="P88" i="2"/>
  <c r="AY86" i="2"/>
  <c r="AX86" i="2"/>
  <c r="AW86" i="2"/>
  <c r="AV86" i="2"/>
  <c r="AU86" i="2"/>
  <c r="AT86" i="2"/>
  <c r="AS86" i="2"/>
  <c r="AR86" i="2"/>
  <c r="AQ86" i="2"/>
  <c r="AP86" i="2"/>
  <c r="AO86" i="2"/>
  <c r="AN86" i="2"/>
  <c r="AM86" i="2"/>
  <c r="AL86" i="2"/>
  <c r="AK86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AY85" i="2"/>
  <c r="AX85" i="2"/>
  <c r="AW85" i="2"/>
  <c r="AV85" i="2"/>
  <c r="AU85" i="2"/>
  <c r="AT85" i="2"/>
  <c r="AS85" i="2"/>
  <c r="AR85" i="2"/>
  <c r="AQ85" i="2"/>
  <c r="AP85" i="2"/>
  <c r="AO85" i="2"/>
  <c r="AN85" i="2"/>
  <c r="AM85" i="2"/>
  <c r="AL85" i="2"/>
  <c r="AK85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AY84" i="2"/>
  <c r="AX84" i="2"/>
  <c r="AW84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AY83" i="2"/>
  <c r="AX83" i="2"/>
  <c r="AW83" i="2"/>
  <c r="AV83" i="2"/>
  <c r="AU83" i="2"/>
  <c r="AT83" i="2"/>
  <c r="AS83" i="2"/>
  <c r="AR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AY82" i="2"/>
  <c r="AX82" i="2"/>
  <c r="AW82" i="2"/>
  <c r="AV82" i="2"/>
  <c r="AU82" i="2"/>
  <c r="AT82" i="2"/>
  <c r="AS82" i="2"/>
  <c r="AR82" i="2"/>
  <c r="AQ82" i="2"/>
  <c r="AP82" i="2"/>
  <c r="AO82" i="2"/>
  <c r="AN82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AY81" i="2"/>
  <c r="AX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AY80" i="2"/>
  <c r="AX80" i="2"/>
  <c r="AW80" i="2"/>
  <c r="AV80" i="2"/>
  <c r="AU80" i="2"/>
  <c r="AT80" i="2"/>
  <c r="AS80" i="2"/>
  <c r="AR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AY78" i="2"/>
  <c r="AX78" i="2"/>
  <c r="AW78" i="2"/>
  <c r="AV78" i="2"/>
  <c r="AU78" i="2"/>
  <c r="AT78" i="2"/>
  <c r="AS78" i="2"/>
  <c r="AR78" i="2"/>
  <c r="AQ78" i="2"/>
  <c r="AP78" i="2"/>
  <c r="AO78" i="2"/>
  <c r="AN78" i="2"/>
  <c r="AM78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AY75" i="2"/>
  <c r="AX75" i="2"/>
  <c r="AW75" i="2"/>
  <c r="AV75" i="2"/>
  <c r="AU75" i="2"/>
  <c r="AT75" i="2"/>
  <c r="AS75" i="2"/>
  <c r="AR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AY74" i="2"/>
  <c r="AX74" i="2"/>
  <c r="AW74" i="2"/>
  <c r="AV74" i="2"/>
  <c r="AU74" i="2"/>
  <c r="AT74" i="2"/>
  <c r="AS74" i="2"/>
  <c r="AR74" i="2"/>
  <c r="AQ74" i="2"/>
  <c r="AP74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AY71" i="2"/>
  <c r="AX71" i="2"/>
  <c r="AW71" i="2"/>
  <c r="AV71" i="2"/>
  <c r="AU71" i="2"/>
  <c r="AT71" i="2"/>
  <c r="AS71" i="2"/>
  <c r="AR71" i="2"/>
  <c r="AQ71" i="2"/>
  <c r="AP71" i="2"/>
  <c r="AO71" i="2"/>
  <c r="AN71" i="2"/>
  <c r="AM71" i="2"/>
  <c r="AL71" i="2"/>
  <c r="AK71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AY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AY69" i="2"/>
  <c r="AX69" i="2"/>
  <c r="AW69" i="2"/>
  <c r="AV69" i="2"/>
  <c r="AU69" i="2"/>
  <c r="AT69" i="2"/>
  <c r="AS69" i="2"/>
  <c r="AR69" i="2"/>
  <c r="AQ69" i="2"/>
  <c r="AP69" i="2"/>
  <c r="AO69" i="2"/>
  <c r="AN69" i="2"/>
  <c r="AM69" i="2"/>
  <c r="AL69" i="2"/>
  <c r="AK69" i="2"/>
  <c r="AJ69" i="2"/>
  <c r="AI69" i="2"/>
  <c r="AH69" i="2"/>
  <c r="AG69" i="2"/>
  <c r="AF69" i="2"/>
  <c r="AE69" i="2"/>
  <c r="AD69" i="2"/>
  <c r="AC69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AY68" i="2"/>
  <c r="AX68" i="2"/>
  <c r="AW68" i="2"/>
  <c r="AV68" i="2"/>
  <c r="AU68" i="2"/>
  <c r="AT68" i="2"/>
  <c r="AS68" i="2"/>
  <c r="AR68" i="2"/>
  <c r="AQ68" i="2"/>
  <c r="AP68" i="2"/>
  <c r="AO68" i="2"/>
  <c r="AN68" i="2"/>
  <c r="AM68" i="2"/>
  <c r="AL68" i="2"/>
  <c r="AK68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AY65" i="2"/>
  <c r="AX65" i="2"/>
  <c r="AW65" i="2"/>
  <c r="AV65" i="2"/>
  <c r="AU65" i="2"/>
  <c r="AT65" i="2"/>
  <c r="AS65" i="2"/>
  <c r="AR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AY64" i="2"/>
  <c r="AX64" i="2"/>
  <c r="AW64" i="2"/>
  <c r="AV64" i="2"/>
  <c r="AU64" i="2"/>
  <c r="AT64" i="2"/>
  <c r="AS64" i="2"/>
  <c r="AR64" i="2"/>
  <c r="AQ64" i="2"/>
  <c r="AP64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AY60" i="2"/>
  <c r="AX60" i="2"/>
  <c r="AW60" i="2"/>
  <c r="AV60" i="2"/>
  <c r="AU60" i="2"/>
  <c r="AT60" i="2"/>
  <c r="AS60" i="2"/>
  <c r="AR60" i="2"/>
  <c r="AQ60" i="2"/>
  <c r="AP60" i="2"/>
  <c r="AO60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AY57" i="2"/>
  <c r="AX57" i="2"/>
  <c r="AW57" i="2"/>
  <c r="AV57" i="2"/>
  <c r="AU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AY55" i="2"/>
  <c r="AX55" i="2"/>
  <c r="AW55" i="2"/>
  <c r="AV55" i="2"/>
  <c r="AU55" i="2"/>
  <c r="AT55" i="2"/>
  <c r="AS55" i="2"/>
  <c r="AR55" i="2"/>
  <c r="AQ55" i="2"/>
  <c r="AP55" i="2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AY54" i="2"/>
  <c r="AX54" i="2"/>
  <c r="AW54" i="2"/>
  <c r="AV54" i="2"/>
  <c r="AU54" i="2"/>
  <c r="AT54" i="2"/>
  <c r="AS54" i="2"/>
  <c r="AR54" i="2"/>
  <c r="AQ54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AY1" i="2"/>
  <c r="AX1" i="2"/>
  <c r="AW1" i="2"/>
  <c r="AV1" i="2"/>
  <c r="AU1" i="2"/>
  <c r="AT1" i="2"/>
  <c r="AS1" i="2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C99" i="1"/>
  <c r="C96" i="1"/>
  <c r="C95" i="1"/>
  <c r="C94" i="1"/>
  <c r="C93" i="1"/>
  <c r="C92" i="1"/>
  <c r="C89" i="1"/>
  <c r="C88" i="1"/>
  <c r="C87" i="1"/>
  <c r="C84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6" i="1"/>
  <c r="C65" i="1"/>
  <c r="C62" i="1"/>
  <c r="C61" i="1"/>
  <c r="C60" i="1"/>
  <c r="C59" i="1"/>
  <c r="C58" i="1"/>
  <c r="C57" i="1"/>
  <c r="C56" i="1"/>
  <c r="C55" i="1"/>
  <c r="C52" i="1"/>
  <c r="C51" i="1"/>
  <c r="C50" i="1"/>
  <c r="C49" i="1"/>
  <c r="C48" i="1"/>
  <c r="C45" i="1"/>
  <c r="C44" i="1"/>
  <c r="C43" i="1"/>
  <c r="C42" i="1"/>
  <c r="C41" i="1"/>
  <c r="C40" i="1"/>
  <c r="C39" i="1"/>
  <c r="C38" i="1"/>
  <c r="C35" i="1"/>
  <c r="C34" i="1"/>
  <c r="C33" i="1"/>
  <c r="C32" i="1"/>
  <c r="C29" i="1"/>
  <c r="C28" i="1"/>
  <c r="C27" i="1"/>
  <c r="C26" i="1"/>
  <c r="C25" i="1"/>
  <c r="C24" i="1"/>
  <c r="C21" i="1"/>
  <c r="C20" i="1"/>
  <c r="C19" i="1"/>
  <c r="C18" i="1"/>
  <c r="C17" i="1"/>
  <c r="C16" i="1"/>
  <c r="C15" i="1"/>
  <c r="C14" i="1"/>
  <c r="C13" i="1"/>
  <c r="C12" i="1"/>
  <c r="C11" i="1"/>
  <c r="C10" i="1"/>
  <c r="C7" i="1"/>
  <c r="C6" i="1"/>
  <c r="C5" i="1"/>
</calcChain>
</file>

<file path=xl/sharedStrings.xml><?xml version="1.0" encoding="utf-8"?>
<sst xmlns="http://schemas.openxmlformats.org/spreadsheetml/2006/main" count="589" uniqueCount="384">
  <si>
    <t>Выбранный сценарий (1 = база, 2 = покупка конкурента)</t>
  </si>
  <si>
    <t>Параметр</t>
  </si>
  <si>
    <t>Размерность</t>
  </si>
  <si>
    <t>Значение</t>
  </si>
  <si>
    <t>Сценарий 1 (база)</t>
  </si>
  <si>
    <t>Сценарий 2 (сделка)</t>
  </si>
  <si>
    <t>Объёмные показатели — привлечение новых клиентов</t>
  </si>
  <si>
    <t>Темп роста числа новых клиентов, в месяц</t>
  </si>
  <si>
    <t>%</t>
  </si>
  <si>
    <t>Доля «случайных» клиентов среди новых</t>
  </si>
  <si>
    <t>Доля новых клиентов, привлекаемых флаерами</t>
  </si>
  <si>
    <t>Сезонность по месяцам (1 = обычный месяц, 0,5 = лето)</t>
  </si>
  <si>
    <t>Цены</t>
  </si>
  <si>
    <t>Цена 1 тренировки для «случайных» клиентов, с НДС</t>
  </si>
  <si>
    <t>тыс. руб.</t>
  </si>
  <si>
    <t>Цена абонемента для «постоянных» клиентов (в мес.), с НДС</t>
  </si>
  <si>
    <t>Прирост цены за период</t>
  </si>
  <si>
    <t>Период прироста цены</t>
  </si>
  <si>
    <t>мес.</t>
  </si>
  <si>
    <t>Сдвиг месяца прироста (1=январь; здесь — июнь)</t>
  </si>
  <si>
    <t>Ставка НДС по продажам</t>
  </si>
  <si>
    <t>Воронка продаж</t>
  </si>
  <si>
    <t>Флаеры: конверсия «флаер → звонок» (3 звонка на 1000 флаеров)</t>
  </si>
  <si>
    <t>Баннеры: конверсия «показ → звонок»</t>
  </si>
  <si>
    <t>Конверсия «звонок → пробное занятие»</t>
  </si>
  <si>
    <t>Конверсия «пробное занятие → клиент»</t>
  </si>
  <si>
    <t>Переменные расходы на привлечение и обслуживание (даны на январь 2022)</t>
  </si>
  <si>
    <t>Стоимость печати 1 флаера с учетом НДС</t>
  </si>
  <si>
    <t>руб.</t>
  </si>
  <si>
    <t>Стоимость раздачи 1 флаера с учетом НДС</t>
  </si>
  <si>
    <t>Стоимость 1 показа баннера с учетом НДС</t>
  </si>
  <si>
    <t>Расходы на обслуживание 1 клиента в зале с учетом НДС</t>
  </si>
  <si>
    <t>Ставка НДС по переменным расходам</t>
  </si>
  <si>
    <t>Прирост переменных расходов, в месяц</t>
  </si>
  <si>
    <t>Период прироста переменных расходов</t>
  </si>
  <si>
    <t>Сдвиг месяца прироста</t>
  </si>
  <si>
    <t>Постоянные расходы</t>
  </si>
  <si>
    <t>Площадь зала</t>
  </si>
  <si>
    <t>м2</t>
  </si>
  <si>
    <t>Ставка аренды в год за м2, с учетом НДС</t>
  </si>
  <si>
    <t>Ставка НДС по аренде и бухгалтерии</t>
  </si>
  <si>
    <t>Бухгалтерия на аутсорсе, в месяц, с учетом НДС</t>
  </si>
  <si>
    <t>Прирост аренды, ФОТ и бухгалтерии, каждый январь</t>
  </si>
  <si>
    <t>Капитальные расходы — тренажёры</t>
  </si>
  <si>
    <t>Стоимость 1 тренажёра</t>
  </si>
  <si>
    <t>Срок полезного использования тренажёра</t>
  </si>
  <si>
    <t>Партия 1 — количество (куплены 4 года назад)</t>
  </si>
  <si>
    <t>шт.</t>
  </si>
  <si>
    <t>Партия 1 — возраст на 31.12.2021</t>
  </si>
  <si>
    <t>Партия 2 — количество (куплены 3 года назад)</t>
  </si>
  <si>
    <t>Партия 2 — возраст на 31.12.2021</t>
  </si>
  <si>
    <t>Партия 3 — количество (куплены 1 год назад)</t>
  </si>
  <si>
    <t>Партия 3 — возраст на 31.12.2021</t>
  </si>
  <si>
    <t>Кредит</t>
  </si>
  <si>
    <t>Сумма кредита (долгосрочные обязательства)</t>
  </si>
  <si>
    <t>Ставка по кредиту, годовая</t>
  </si>
  <si>
    <t>ФОТ, net (на руки), даны на январь 2022</t>
  </si>
  <si>
    <t>Управляющий клубом</t>
  </si>
  <si>
    <t>Тренер (мл.), на 1 чел.</t>
  </si>
  <si>
    <t>Количество тренеров (мл.)</t>
  </si>
  <si>
    <t>чел.</t>
  </si>
  <si>
    <t>Тренер (ст.), на 1 чел.</t>
  </si>
  <si>
    <t>Количество тренеров (ст.)</t>
  </si>
  <si>
    <t>Начальник отдела продаж</t>
  </si>
  <si>
    <t>Специалист отдела продаж, на 1 чел.</t>
  </si>
  <si>
    <t>Количество специалистов отдела продаж</t>
  </si>
  <si>
    <t>Техник</t>
  </si>
  <si>
    <t>Гардеробщица</t>
  </si>
  <si>
    <t>Уборщица</t>
  </si>
  <si>
    <t>Ставка НДФЛ</t>
  </si>
  <si>
    <t>Ставка страховых взносов</t>
  </si>
  <si>
    <t>Налог на прибыль</t>
  </si>
  <si>
    <t>Ставка налога на прибыль</t>
  </si>
  <si>
    <t>Баланс на 31.12.2021</t>
  </si>
  <si>
    <t>Уставный капитал на 31.12.2021</t>
  </si>
  <si>
    <t>Накопленный убыток на 31.12.2021</t>
  </si>
  <si>
    <t>Доля ДЗ и КЗ от выручки текущего месяца</t>
  </si>
  <si>
    <t>Сделка по покупке конкурента (только сценарий 2)</t>
  </si>
  <si>
    <t>Цена покупки конкурента</t>
  </si>
  <si>
    <t>Переходящие постоянные клиенты конкурента</t>
  </si>
  <si>
    <t>Срок, в течение которого они остаются клиентами</t>
  </si>
  <si>
    <t>Срок полезного использования доп. ОС от сделки</t>
  </si>
  <si>
    <t>Доп. тренеры от сделки (уже учтены в строке 71 сценария 2)</t>
  </si>
  <si>
    <t>Докапитализация (довзнос в УК в январе 2022, чтобы хватало денег и коэффициенты не нарушались)</t>
  </si>
  <si>
    <t>Размер докапитализации (взнос в УК в январе 2022)</t>
  </si>
  <si>
    <t>История 2021 (факт, дано по условию) — только для «завода» 12-мес. когорты постоянных клиентов и остатков на 31.12.2021</t>
  </si>
  <si>
    <t>Клиенты</t>
  </si>
  <si>
    <t>Новые клиенты — тренд без сезонности (прогноз)</t>
  </si>
  <si>
    <t>Сезонность</t>
  </si>
  <si>
    <t>Новые клиенты, всего</t>
  </si>
  <si>
    <t>из них «случайные»</t>
  </si>
  <si>
    <t>из них «постоянные»</t>
  </si>
  <si>
    <t>Клиенты конкурента (сделка, сценарий 2)</t>
  </si>
  <si>
    <t>Активная база «постоянных» на конец месяца (12-мес. когорта, вкл. сделку)</t>
  </si>
  <si>
    <t>Повторные продажи «постоянным» в месяце (с учётом сезонности)</t>
  </si>
  <si>
    <t>Итого клиентов, посещающих зал в месяце</t>
  </si>
  <si>
    <t>Воронка и привлечение (прогноз)</t>
  </si>
  <si>
    <t>Нужно новых клиентов через флаеры</t>
  </si>
  <si>
    <t>Нужно новых клиентов через баннеры</t>
  </si>
  <si>
    <t>Нужно флаеров</t>
  </si>
  <si>
    <t>Нужно показов баннера</t>
  </si>
  <si>
    <t>Цена 1 тренировки («случайные»), с НДС</t>
  </si>
  <si>
    <t>Цена 1 тренировки, без НДС</t>
  </si>
  <si>
    <t>Цена абонемента («постоянные»), с НДС</t>
  </si>
  <si>
    <t>Цена абонемента, без НДС</t>
  </si>
  <si>
    <t>Выручка</t>
  </si>
  <si>
    <t>Выручка от «случайных», с НДС</t>
  </si>
  <si>
    <t>Выручка от «постоянных», с НДС</t>
  </si>
  <si>
    <t>Итого выручка, с НДС</t>
  </si>
  <si>
    <t>Итого выручка, без НДС</t>
  </si>
  <si>
    <t>Отчет о прибылях и убытках (прогноз)</t>
  </si>
  <si>
    <t>Переменные расходы</t>
  </si>
  <si>
    <t xml:space="preserve">  Расходы на флаеры (без НДС)</t>
  </si>
  <si>
    <t xml:space="preserve">  Расходы на баннеры (без НДС)</t>
  </si>
  <si>
    <t xml:space="preserve">  Расходы на обслуживание клиентов (без НДС)</t>
  </si>
  <si>
    <t>Валовая прибыль</t>
  </si>
  <si>
    <t xml:space="preserve">  Аренда (без НДС)</t>
  </si>
  <si>
    <t xml:space="preserve">  Бухгалтерия на аутсорсе (без НДС)</t>
  </si>
  <si>
    <t xml:space="preserve">  ФОТ, включая налоги</t>
  </si>
  <si>
    <t>EBITDA</t>
  </si>
  <si>
    <t>Амортизация</t>
  </si>
  <si>
    <t>EBIT</t>
  </si>
  <si>
    <t>Проценты по кредиту</t>
  </si>
  <si>
    <t>Прибыль до налогообложения</t>
  </si>
  <si>
    <t>Чистая прибыль</t>
  </si>
  <si>
    <t>Переменные расходы — детализация (прогноз)</t>
  </si>
  <si>
    <t>Стоимость печати 1 флаера, с НДС</t>
  </si>
  <si>
    <t>Стоимость печати 1 флаера, без НДС</t>
  </si>
  <si>
    <t>Стоимость раздачи 1 флаера, с НДС</t>
  </si>
  <si>
    <t>Стоимость раздачи 1 флаера, без НДС</t>
  </si>
  <si>
    <t>Расходы на флаеры, с НДС</t>
  </si>
  <si>
    <t>Расходы на флаеры, без НДС</t>
  </si>
  <si>
    <t>Стоимость 1 показа баннера, с НДС</t>
  </si>
  <si>
    <t>Стоимость 1 показа баннера, без НДС</t>
  </si>
  <si>
    <t>Расходы на баннеры, с НДС</t>
  </si>
  <si>
    <t>Расходы на баннеры, без НДС</t>
  </si>
  <si>
    <t>Стоимость обслуживания 1 клиента, с НДС</t>
  </si>
  <si>
    <t>Стоимость обслуживания 1 клиента, без НДС</t>
  </si>
  <si>
    <t>Расходы на обслуживание клиентов, с НДС</t>
  </si>
  <si>
    <t>Расходы на обслуживание клиентов, без НДС</t>
  </si>
  <si>
    <t>Постоянные расходы — детализация (прогноз)</t>
  </si>
  <si>
    <t>Аренда, с НДС</t>
  </si>
  <si>
    <t>Аренда, без НДС</t>
  </si>
  <si>
    <t>Бухгалтерия на аутсорсе, с НДС</t>
  </si>
  <si>
    <t>Бухгалтерия на аутсорсе, без НДС</t>
  </si>
  <si>
    <t>ФОТ, net (прогноз, с ежегодной январской индексацией 5%)</t>
  </si>
  <si>
    <t>Тренеры (мл.), итого</t>
  </si>
  <si>
    <t>Тренеры (ст.), итого</t>
  </si>
  <si>
    <t>Специалисты отдела продаж, итого</t>
  </si>
  <si>
    <t>Итого net</t>
  </si>
  <si>
    <t>Итого gross</t>
  </si>
  <si>
    <t>НДФЛ</t>
  </si>
  <si>
    <t>Страховые взносы</t>
  </si>
  <si>
    <t>ФОТ, включая налоги (net+НДФЛ+взносы)</t>
  </si>
  <si>
    <t>Номер месяца прогноза (1 = янв. 2022)</t>
  </si>
  <si>
    <t>Амортизация — детализация</t>
  </si>
  <si>
    <t>Партия 1 (6 шт., до конца — 12 мес.)</t>
  </si>
  <si>
    <t>Партия 2 (6 шт., до конца — 24 мес.)</t>
  </si>
  <si>
    <t>Партия 3 (3 шт., до конца — 48 мес.)</t>
  </si>
  <si>
    <t>Итого амортизация существующих тренажёров</t>
  </si>
  <si>
    <t>Остаточная стоимость существующих тренажёров</t>
  </si>
  <si>
    <t>Покупка ОС по сделке (сценарий 2)</t>
  </si>
  <si>
    <t>Амортизация ОС по сделке</t>
  </si>
  <si>
    <t>Остаточная стоимость ОС по сделке</t>
  </si>
  <si>
    <t>Расчеты по НДС</t>
  </si>
  <si>
    <t>Исходящий НДС</t>
  </si>
  <si>
    <t>Входящий НДС</t>
  </si>
  <si>
    <t>НДС к уплате</t>
  </si>
  <si>
    <t>Расчет налога на прибыль</t>
  </si>
  <si>
    <t>Прибыль до налогообложения накопленным итогом</t>
  </si>
  <si>
    <t>Налог на прибыль (расчетный, положительный)</t>
  </si>
  <si>
    <t>Баланс</t>
  </si>
  <si>
    <t>Активы</t>
  </si>
  <si>
    <t>Внеоборотные активы</t>
  </si>
  <si>
    <t>Основные средства</t>
  </si>
  <si>
    <t>Оборотные активы</t>
  </si>
  <si>
    <t>Запасы</t>
  </si>
  <si>
    <t>Дебиторская задолженность</t>
  </si>
  <si>
    <t>Денежные средства</t>
  </si>
  <si>
    <t>Пассивы</t>
  </si>
  <si>
    <t>Капитал и резервы</t>
  </si>
  <si>
    <t>Уставный капитал</t>
  </si>
  <si>
    <t>Нераспределенная прибыль</t>
  </si>
  <si>
    <t>Долгосрочные обязательства</t>
  </si>
  <si>
    <t>Заемные средства (кредит)</t>
  </si>
  <si>
    <t>Краткосрочные обязательства</t>
  </si>
  <si>
    <t>Заемные средства</t>
  </si>
  <si>
    <t>Кредиторская задолженность</t>
  </si>
  <si>
    <t>Проверка (Активы − Пассивы)</t>
  </si>
  <si>
    <t>Отчет о движении денежных средств</t>
  </si>
  <si>
    <t>Операционная деятельность</t>
  </si>
  <si>
    <t>Денежные средства от покупателей</t>
  </si>
  <si>
    <t>Денежные средства на переменные расходы</t>
  </si>
  <si>
    <t>Денежные средства на постоянные расходы</t>
  </si>
  <si>
    <t>Изменение кредиторской задолженности</t>
  </si>
  <si>
    <t>Проценты уплаченные</t>
  </si>
  <si>
    <t>Уплаченный НДС</t>
  </si>
  <si>
    <t>Уплаченный налог на прибыль</t>
  </si>
  <si>
    <t>Чистое движение средств от операционной деятельности</t>
  </si>
  <si>
    <t>Инвестиционная деятельность</t>
  </si>
  <si>
    <t>Покупка основных средств (сделка)</t>
  </si>
  <si>
    <t>Чистое движение средств от инвестиционной деятельности</t>
  </si>
  <si>
    <t>Финансовая деятельность</t>
  </si>
  <si>
    <t>Привлечение капитала (докапитализация)</t>
  </si>
  <si>
    <t>Привлечение/погашение кредитов</t>
  </si>
  <si>
    <t>Чистое движение средств от финансовой деятельности</t>
  </si>
  <si>
    <t>Средства на счетах на начало периода</t>
  </si>
  <si>
    <t>Итого движение денежных средств за период</t>
  </si>
  <si>
    <t>Средства на счетах на конец периода</t>
  </si>
  <si>
    <t>Проверка (конец периода − Денежные средства в балансе)</t>
  </si>
  <si>
    <t>Показатели эффективности</t>
  </si>
  <si>
    <t>Коэффициент финансовой устойчивости (крит. &lt; 0,8)</t>
  </si>
  <si>
    <t>Коэффициент текущей ликвидности (крит. &lt; 2)</t>
  </si>
  <si>
    <t>Валовая маржа</t>
  </si>
  <si>
    <t>Операционная маржа (EBIT)</t>
  </si>
  <si>
    <t>Маржа чистой прибыли</t>
  </si>
  <si>
    <t>Отчётность по годам (2022-2024)</t>
  </si>
  <si>
    <t>Все суммы — тыс. руб. Формулы ссылаются на лист «Расчеты» (сценарий определяется переключателем Предпосылки!C1).</t>
  </si>
  <si>
    <t>Отчёт о прибылях и убытках</t>
  </si>
  <si>
    <t>Статья</t>
  </si>
  <si>
    <t>2022</t>
  </si>
  <si>
    <t>2023</t>
  </si>
  <si>
    <t>2024</t>
  </si>
  <si>
    <t>Баланс (на конец года)</t>
  </si>
  <si>
    <t xml:space="preserve">Заемные средства </t>
  </si>
  <si>
    <t>Отчёт о движении денежных средств</t>
  </si>
  <si>
    <t xml:space="preserve">  Денежные средства от покупателей</t>
  </si>
  <si>
    <t xml:space="preserve">  Денежные средства на переменные расходы</t>
  </si>
  <si>
    <t xml:space="preserve">  Денежные средства на постоянные расходы</t>
  </si>
  <si>
    <t xml:space="preserve">  Изменение кредиторской задолженности</t>
  </si>
  <si>
    <t xml:space="preserve">  Проценты уплаченные</t>
  </si>
  <si>
    <t xml:space="preserve">  Уплаченный НДС</t>
  </si>
  <si>
    <t xml:space="preserve">  Уплаченный налог на прибыль</t>
  </si>
  <si>
    <t xml:space="preserve">  Покупка основных средств (сделка)</t>
  </si>
  <si>
    <t xml:space="preserve">  Привлечение капитала (докапитализация)</t>
  </si>
  <si>
    <t xml:space="preserve">  Привлечение/погашение кредитов</t>
  </si>
  <si>
    <t>Показатели эффективности (на конец года)</t>
  </si>
  <si>
    <t>Валовая маржа (годовая)</t>
  </si>
  <si>
    <t>Операционная маржа EBIT (годовая)</t>
  </si>
  <si>
    <t>Маржа чистой прибыли (годовая)</t>
  </si>
  <si>
    <t>Юнит-экономика клиента «Фиты» (на базе цен и затрат января 2022)</t>
  </si>
  <si>
    <t>1. Стоимость привлечения клиента (CAC) по каналам</t>
  </si>
  <si>
    <t>CAC через флаеры (без НДС), руб.</t>
  </si>
  <si>
    <t>CAC через баннеры (без НДС), руб.</t>
  </si>
  <si>
    <t>CAC смешанный (30% флаеры / 70% баннеры)</t>
  </si>
  <si>
    <t>2. Маржинальный доход на клиента за весь срок жизни (без НДС)</t>
  </si>
  <si>
    <t>«Случайный» клиент: 2 тренировки за 1 месяц минус обслуживание</t>
  </si>
  <si>
    <t>«Постоянный» клиент: абонемент за 12 мес. минус обслуживание (LTV)</t>
  </si>
  <si>
    <t>Смешанный маржинальный доход (70% случайных / 30% постоянных)</t>
  </si>
  <si>
    <t>3. Итоговая юнит-экономика (суммарно по типам клиентов и каналам)</t>
  </si>
  <si>
    <t>LTV / CAC</t>
  </si>
  <si>
    <t>Маржинальный доход за вычетом CAC, на 1 привлечённого клиента, руб.</t>
  </si>
  <si>
    <t>Срок окупаемости CAC для «постоянного» клиента, мес.</t>
  </si>
  <si>
    <t>Выводы</t>
  </si>
  <si>
    <t>Юнит-экономика положительна: маржинальный доход на клиента (LTV) многократно превышает стоимость его</t>
  </si>
  <si>
    <t>привлечения (CAC) — см. отношение LTV/CAC выше. Каждый привлечённый клиент окупает расходы на привлечение</t>
  </si>
  <si>
    <t>существенно быстрее среднего срока жизни «постоянного» клиента (12 мес.).</t>
  </si>
  <si>
    <t>Оценка стоимости компании «Фита» и анализ сделки по покупке конкурента</t>
  </si>
  <si>
    <t>Сценарий 1 (база) считается напрямую формулами с листа «Расчеты» (Предпосылки!C1=1 — стандартная сдача).</t>
  </si>
  <si>
    <t>Сценарий 2 (сделка) зафиксирован как значения (получены пересчётом при Предпосылки!C1=2, воспроизводимо).</t>
  </si>
  <si>
    <t>Ставка дисконтирования, годовая (дано в задании для сделки; используется и для оценки стоимости)</t>
  </si>
  <si>
    <t>Ставка дисконтирования, месячная</t>
  </si>
  <si>
    <t>Постпрогнозный темп роста g, годовой (дано в задании)</t>
  </si>
  <si>
    <t>t, мес.</t>
  </si>
  <si>
    <t>Месяц</t>
  </si>
  <si>
    <t>FCFE, сценарий 1 (база)</t>
  </si>
  <si>
    <t>FCFE, сценарий 2 (сделка)</t>
  </si>
  <si>
    <t>Δ FCFE (сделка − база)</t>
  </si>
  <si>
    <t>Анализ сделки. NPV без учёта постпрогнозной стоимости (горизонт 3 года, ставка 15%)</t>
  </si>
  <si>
    <t>NPV сделки = NPV помесячных Δ FCFE по месячной ставке, тыс. руб.</t>
  </si>
  <si>
    <t>Вывод</t>
  </si>
  <si>
    <t>Оценка стоимости по DCF (с постпрогнозной стоимостью, метод Гордона)</t>
  </si>
  <si>
    <t>Показатель</t>
  </si>
  <si>
    <t>Приведённая стоимость FCFE за 36 мес. прогноза, тыс. руб.</t>
  </si>
  <si>
    <t>FCFE за 2024 год (последний год прогноза), тыс. руб.</t>
  </si>
  <si>
    <t>Терминальная стоимость на конец 2024 = FCFE(2024)×(1+g)/(Re−g), тыс. руб.</t>
  </si>
  <si>
    <t>Терминальная стоимость, приведённая к дек. 2021 (÷(1+Re)^3), тыс. руб.</t>
  </si>
  <si>
    <t>Стоимость собственного капитала компании (DCF), тыс. руб.</t>
  </si>
  <si>
    <t>То же, млн руб.</t>
  </si>
  <si>
    <t>Прирост стоимости компании от сделки (сценарий 2 − сценарий 1), тыс. руб.</t>
  </si>
  <si>
    <t>Вывод (с учётом постпрогнозной стоимости)</t>
  </si>
  <si>
    <t>Достаточность денежных средств и докапитализация</t>
  </si>
  <si>
    <t>Минимум денежных средств за 2022-2024, тыс. руб.</t>
  </si>
  <si>
    <t>Минимум коэфф. финансовой устойчивости (крит. &lt; 0,8)</t>
  </si>
  <si>
    <t>Минимум коэфф. текущей ликвидности (крит. &lt; 2)</t>
  </si>
  <si>
    <t>Нужна ли докапитализация (Предпосылки!C99)</t>
  </si>
  <si>
    <t>План-факт анализ и факторный анализ отклонений — март 2022</t>
  </si>
  <si>
    <t>Факт-движок (янв./фев./март 2022)</t>
  </si>
  <si>
    <t>янв.22</t>
  </si>
  <si>
    <t>фев.22</t>
  </si>
  <si>
    <t>март.22</t>
  </si>
  <si>
    <t>Новых клиентов, всего (факт)</t>
  </si>
  <si>
    <t>из них «случайные» (факт)</t>
  </si>
  <si>
    <t>из них «постоянные» (факт)</t>
  </si>
  <si>
    <t>Повторных продаж = активная база «постоянных» (факт)</t>
  </si>
  <si>
    <t>Итого клиентов, посещающих зал (факт)</t>
  </si>
  <si>
    <t>Конверсия «звонок → пробное занятие» (факт)</t>
  </si>
  <si>
    <t>Флаер: печать, с НДС, руб. (факт)</t>
  </si>
  <si>
    <t>Флаер: раздача, с НДС, руб. (факт)</t>
  </si>
  <si>
    <t>Флаер: печать, без НДС, руб.</t>
  </si>
  <si>
    <t>Флаер: раздача, без НДС, руб.</t>
  </si>
  <si>
    <t>Нужно клиентов через флаеры (факт)</t>
  </si>
  <si>
    <t>Нужно клиентов через баннеры (факт)</t>
  </si>
  <si>
    <t>Нужно флаеров (факт)</t>
  </si>
  <si>
    <t>Нужно показов баннера (факт)</t>
  </si>
  <si>
    <t>Расходы на флаеры, без НДС, тыс. руб. (факт)</t>
  </si>
  <si>
    <t>Расходы на баннеры, без НДС, тыс. руб. (факт)</t>
  </si>
  <si>
    <t>Расходы на обслуживание клиентов, без НДС, тыс. руб. (факт)</t>
  </si>
  <si>
    <t>Выручка от «случайных», без НДС, тыс. руб. (факт)</t>
  </si>
  <si>
    <t>Выручка от «постоянных», без НДС, тыс. руб. (факт)</t>
  </si>
  <si>
    <t>Выручка, тыс. руб. (факт)</t>
  </si>
  <si>
    <t>Переменные расходы, тыс. руб. (факт)</t>
  </si>
  <si>
    <t>Валовая прибыль, тыс. руб. (факт)</t>
  </si>
  <si>
    <t>Постоянные расходы, тыс. руб. (план, не менялся)</t>
  </si>
  <si>
    <t>EBITDA, тыс. руб. (факт)</t>
  </si>
  <si>
    <t>Амортизация, тыс. руб. (план, не менялся)</t>
  </si>
  <si>
    <t>EBIT, тыс. руб. (факт)</t>
  </si>
  <si>
    <t>Проценты по кредиту, тыс. руб. (план, не менялся)</t>
  </si>
  <si>
    <t>Прибыль до налогообложения, тыс. руб. (факт)</t>
  </si>
  <si>
    <t>Прибыль до налогообложения накопленным итогом (факт)</t>
  </si>
  <si>
    <t>Налог на прибыль, тыс. руб. (факт)</t>
  </si>
  <si>
    <t>Чистая прибыль, тыс. руб. (факт)</t>
  </si>
  <si>
    <t>Сравнение план-факт за март 2022</t>
  </si>
  <si>
    <t>План</t>
  </si>
  <si>
    <t>Факт</t>
  </si>
  <si>
    <t>Отклонение (факт-план)</t>
  </si>
  <si>
    <t>Элемент?</t>
  </si>
  <si>
    <t>Отклонение (только элементы)</t>
  </si>
  <si>
    <t>да</t>
  </si>
  <si>
    <t xml:space="preserve">  в т.ч. расходы на флаеры</t>
  </si>
  <si>
    <t xml:space="preserve">  в т.ч. расходы на баннеры</t>
  </si>
  <si>
    <t xml:space="preserve">  в т.ч. расходы на обслуживание клиентов</t>
  </si>
  <si>
    <t>Три статьи, сильнее всего ухудшающие прибыль (среди элементарных статей, где «Элемент?»=да):</t>
  </si>
  <si>
    <t>1 место</t>
  </si>
  <si>
    <t>2 место</t>
  </si>
  <si>
    <t>3 место</t>
  </si>
  <si>
    <t>Факторный анализ отклонения расходов на флаеры (печать + раздача), метод цепных подстановок</t>
  </si>
  <si>
    <t>Порядок факторов: 1) количество новых клиентов, 2) конверсия «звонок→пробное», 3) стоимость печати/раздачи.</t>
  </si>
  <si>
    <t>Шаг</t>
  </si>
  <si>
    <t>Клиентов через флаеры</t>
  </si>
  <si>
    <t>Конверсия звонок→пробное</t>
  </si>
  <si>
    <t>Цена печать+раздача, без НДС, руб.</t>
  </si>
  <si>
    <t>Расход на флаеры, тыс. руб.</t>
  </si>
  <si>
    <t>0. План</t>
  </si>
  <si>
    <t>1. + факт. клиентов</t>
  </si>
  <si>
    <t>2. + факт. конверсии</t>
  </si>
  <si>
    <t>3. + факт. цены (= Факт)</t>
  </si>
  <si>
    <t>Изменение за счёт количества новых клиентов</t>
  </si>
  <si>
    <t>Изменение за счёт конверсии «звонок→пробное»</t>
  </si>
  <si>
    <t>Изменение за счёт цены печати/раздачи флаера</t>
  </si>
  <si>
    <t>Итого отклонение (факт − план), проверка</t>
  </si>
  <si>
    <t>Факторный анализ отклонения расходов на баннерную рекламу, метод цепных подстановок</t>
  </si>
  <si>
    <t>Порядок факторов: 1) количество новых клиентов, 2) конверсия «звонок→пробное» (цена показа не менялась).</t>
  </si>
  <si>
    <t>Клиентов через баннеры</t>
  </si>
  <si>
    <t>Цена показа, без НДС, руб.</t>
  </si>
  <si>
    <t>Расход на баннеры, тыс. руб.</t>
  </si>
  <si>
    <t>2. + факт. конверсии (= Факт)</t>
  </si>
  <si>
    <t>Помесячная динамика 2022-2024</t>
  </si>
  <si>
    <t>Денежные средства на конец месяца</t>
  </si>
  <si>
    <t>Активная база «постоянных» клиентов</t>
  </si>
  <si>
    <t>Коэфф. финансовой устойчивости</t>
  </si>
  <si>
    <t>Коэфф. текущей ликвидности</t>
  </si>
  <si>
    <t>Критические значения коэффициентов (для линии на графике)</t>
  </si>
  <si>
    <t>Критическое значение — фин. устойчивость (0,8)</t>
  </si>
  <si>
    <t>Критическое значение — тек. ликвидность (2)</t>
  </si>
  <si>
    <t>ОПУ по годам (для столбчатой диаграммы)</t>
  </si>
  <si>
    <t>Юнит-экономика: LTV vs CAC (для столбчатой диаграммы)</t>
  </si>
  <si>
    <t>Значение, руб.</t>
  </si>
  <si>
    <t>CAC смешанный</t>
  </si>
  <si>
    <t>LTV смешанный</t>
  </si>
  <si>
    <t>План-факт март 2022: выручка и прибыль (для сравнительной диаграммы)</t>
  </si>
  <si>
    <t>1. Денежных средств без докапитализации не хватает: минимум остатка за 2022-2024 падает почти до нуля (провал приходится на лето 2022 — в июне-августе продажи вдвое ниже), и оба коэффициента пробивают критические значения. Поэтому в модель заложен взнос в уставный капитал в январе 2022 года.</t>
  </si>
  <si>
    <t>3. Сценарий сделки: докапитализация 1 050 тыс. руб. Это на 600 тыс. руб. больше, чем в базе, хотя сама покупка стоит 1 млн руб. в январе, — разницу закрывает денежный поток от 50 перешедших клиентов конкурента. Минимум денежных средств 186,3 тыс. руб., финансовая устойчивость 0,853, текущая ликвидность 2,30.</t>
  </si>
  <si>
    <t>4. Сделка без учёта постпрогнозной стоимости: NPV прироста денежного потока за три года по ставке 15 % годовых составляет +242,2 тыс. руб. Значение положительное, то есть сделка окупается уже на горизонте самой модели, хотя запас невелик.</t>
  </si>
  <si>
    <t>5. С учётом постпрогнозной стоимости (метод Гордона, g = 5 % в год) стоимость собственного капитала компании: 53,8 млн руб. в базовом сценарии и 64,5 млн руб. в сценарии сделки. Прирост стоимости от сделки +10,7 млн руб. — вывод о её выгодности подтверждается и с учётом терминальной стоимости.</t>
  </si>
  <si>
    <t>6. Оговорка к оценке: доля терминальной стоимости составляет около 87 % от итоговой величины DCF, потому что на конец 2024 года компания ещё быстро растёт и не вышла на устойчивый темп 5 % в год. Оценку стоит воспринимать как верхнюю, оптимистичную границу диапазона, а не как точечное значение.</t>
  </si>
  <si>
    <t>Данные</t>
  </si>
  <si>
    <t>Факт дан по условию за янв./фев./март 2022; факт-движок использует плановые (Предпосылки) значения там, где отклонение не указано («Остальные показатели соответствуют плановым»).</t>
  </si>
  <si>
    <t>2. Базовый сценарий: докапитализация 450 тыс. руб. С ней минимум денежных средств 484,4 тыс. руб., коэффициент финансовой устойчивости не опускается ниже 0,804 (крит. 0,8), коэффициент текущей ликвидности — не ниже 3,96 (крит. 2). Связывающее ограничение здесь — финансовая устойчивость, а не нехватка денег: именно она упирается в критическое значение.</t>
  </si>
  <si>
    <t>Да, 450 тыс. руб. взносом в УК в январе 2022</t>
  </si>
  <si>
    <t>Да, 1 050 тыс. руб. взносом в УК в январе 2022</t>
  </si>
  <si>
    <t>Расходы на флаеры</t>
  </si>
  <si>
    <t>Расходы на баннеры</t>
  </si>
  <si>
    <t>Из них материальны только первые две: -537,0 и -55,7 тыс. руб.; третья (-0,1 тыс. руб.) практически нулевая. Расходы на обслуживание клиентов, наоборот, оказались ниже плана.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</si>
</sst>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0.0"/>
    <numFmt numFmtId="166" formatCode="#,##0.0"/>
    <numFmt numFmtId="167" formatCode="mmm\ yyyy"/>
    <numFmt numFmtId="168" formatCode="0.000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b/>
      <sz val="11"/>
      <color rgb="FFA9D18E"/>
      <name val="Calibri"/>
    </font>
    <font>
      <b/>
      <sz val="11"/>
      <color rgb="FF44546A"/>
      <name val="Calibri"/>
    </font>
    <font>
      <b/>
      <sz val="9"/>
      <color rgb="FF44546A"/>
      <name val="Calibri"/>
    </font>
    <font>
      <i/>
      <sz val="11"/>
      <color rgb="FF808080"/>
      <name val="Calibri"/>
    </font>
    <font>
      <b/>
      <sz val="16"/>
      <name val="Calibri"/>
    </font>
    <font>
      <i/>
      <sz val="9"/>
      <name val="Calibri"/>
    </font>
    <font>
      <sz val="11"/>
      <name val="Calibri"/>
    </font>
    <font>
      <i/>
      <sz val="9"/>
      <name val="Calibri"/>
      <family val="2"/>
      <charset val="204"/>
    </font>
    <font>
      <b/>
      <sz val="16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BDD7EE"/>
      </patternFill>
    </fill>
    <fill>
      <patternFill patternType="solid">
        <fgColor rgb="FFB4C7E7"/>
      </patternFill>
    </fill>
    <fill>
      <patternFill patternType="solid">
        <fgColor rgb="FFDAE3F3"/>
      </patternFill>
    </fill>
    <fill>
      <patternFill patternType="solid">
        <fgColor rgb="FFC9C9C9"/>
      </patternFill>
    </fill>
    <fill>
      <patternFill patternType="solid">
        <fgColor rgb="FFDBDBDB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4" borderId="0" xfId="0" applyFont="1" applyFill="1"/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9" fontId="0" fillId="0" borderId="0" xfId="0" applyNumberFormat="1" applyAlignment="1">
      <alignment horizontal="center"/>
    </xf>
    <xf numFmtId="9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167" fontId="4" fillId="5" borderId="0" xfId="0" applyNumberFormat="1" applyFont="1" applyFill="1" applyAlignment="1">
      <alignment horizontal="center"/>
    </xf>
    <xf numFmtId="0" fontId="4" fillId="5" borderId="0" xfId="0" applyFont="1" applyFill="1"/>
    <xf numFmtId="166" fontId="4" fillId="5" borderId="0" xfId="0" applyNumberFormat="1" applyFont="1" applyFill="1"/>
    <xf numFmtId="166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166" fontId="1" fillId="0" borderId="0" xfId="0" applyNumberFormat="1" applyFont="1"/>
    <xf numFmtId="0" fontId="1" fillId="6" borderId="0" xfId="0" applyFont="1" applyFill="1"/>
    <xf numFmtId="166" fontId="1" fillId="6" borderId="0" xfId="0" applyNumberFormat="1" applyFont="1" applyFill="1"/>
    <xf numFmtId="168" fontId="6" fillId="0" borderId="0" xfId="0" applyNumberFormat="1" applyFont="1"/>
    <xf numFmtId="2" fontId="0" fillId="0" borderId="0" xfId="0" applyNumberFormat="1"/>
    <xf numFmtId="164" fontId="0" fillId="0" borderId="0" xfId="0" applyNumberForma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0" fillId="0" borderId="1" xfId="0" applyBorder="1"/>
    <xf numFmtId="166" fontId="0" fillId="0" borderId="1" xfId="0" applyNumberFormat="1" applyBorder="1"/>
    <xf numFmtId="0" fontId="1" fillId="0" borderId="1" xfId="0" applyFont="1" applyBorder="1"/>
    <xf numFmtId="166" fontId="1" fillId="0" borderId="1" xfId="0" applyNumberFormat="1" applyFont="1" applyBorder="1"/>
    <xf numFmtId="0" fontId="1" fillId="8" borderId="1" xfId="0" applyFont="1" applyFill="1" applyBorder="1"/>
    <xf numFmtId="166" fontId="1" fillId="8" borderId="1" xfId="0" applyNumberFormat="1" applyFont="1" applyFill="1" applyBorder="1"/>
    <xf numFmtId="3" fontId="1" fillId="7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/>
    <xf numFmtId="164" fontId="0" fillId="0" borderId="1" xfId="0" applyNumberFormat="1" applyBorder="1"/>
    <xf numFmtId="0" fontId="4" fillId="5" borderId="1" xfId="0" applyFont="1" applyFill="1" applyBorder="1"/>
    <xf numFmtId="4" fontId="0" fillId="0" borderId="1" xfId="0" applyNumberFormat="1" applyBorder="1"/>
    <xf numFmtId="4" fontId="1" fillId="2" borderId="1" xfId="0" applyNumberFormat="1" applyFont="1" applyFill="1" applyBorder="1"/>
    <xf numFmtId="165" fontId="0" fillId="0" borderId="1" xfId="0" applyNumberFormat="1" applyBorder="1"/>
    <xf numFmtId="0" fontId="0" fillId="0" borderId="0" xfId="0" applyAlignment="1">
      <alignment vertical="top" wrapText="1"/>
    </xf>
    <xf numFmtId="164" fontId="3" fillId="0" borderId="0" xfId="0" applyNumberFormat="1" applyFont="1"/>
    <xf numFmtId="10" fontId="9" fillId="0" borderId="0" xfId="0" applyNumberFormat="1" applyFont="1"/>
    <xf numFmtId="3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6" fontId="1" fillId="2" borderId="1" xfId="0" applyNumberFormat="1" applyFont="1" applyFill="1" applyBorder="1"/>
    <xf numFmtId="0" fontId="1" fillId="6" borderId="1" xfId="0" applyFont="1" applyFill="1" applyBorder="1"/>
    <xf numFmtId="166" fontId="1" fillId="6" borderId="1" xfId="0" applyNumberFormat="1" applyFont="1" applyFill="1" applyBorder="1"/>
    <xf numFmtId="2" fontId="0" fillId="0" borderId="1" xfId="0" applyNumberFormat="1" applyBorder="1"/>
    <xf numFmtId="0" fontId="8" fillId="0" borderId="0" xfId="0" applyFont="1" applyAlignment="1">
      <alignment vertical="top" wrapText="1"/>
    </xf>
    <xf numFmtId="166" fontId="3" fillId="0" borderId="1" xfId="0" applyNumberFormat="1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3" fontId="0" fillId="0" borderId="1" xfId="0" applyNumberFormat="1" applyBorder="1"/>
    <xf numFmtId="0" fontId="1" fillId="7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1" xfId="0" applyNumberFormat="1" applyFont="1" applyFill="1" applyBorder="1"/>
    <xf numFmtId="4" fontId="1" fillId="6" borderId="1" xfId="0" applyNumberFormat="1" applyFont="1" applyFill="1" applyBorder="1"/>
    <xf numFmtId="165" fontId="4" fillId="5" borderId="1" xfId="0" applyNumberFormat="1" applyFont="1" applyFill="1" applyBorder="1"/>
    <xf numFmtId="0" fontId="1" fillId="7" borderId="1" xfId="0" applyFont="1" applyFill="1" applyBorder="1"/>
    <xf numFmtId="167" fontId="1" fillId="7" borderId="1" xfId="0" applyNumberFormat="1" applyFont="1" applyFill="1" applyBorder="1" applyAlignment="1">
      <alignment horizontal="center"/>
    </xf>
    <xf numFmtId="0" fontId="4" fillId="5" borderId="3" xfId="0" applyFont="1" applyFill="1" applyBorder="1"/>
    <xf numFmtId="0" fontId="0" fillId="0" borderId="2" xfId="0" applyBorder="1" applyAlignment="1">
      <alignment horizontal="justify"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Выручка, EBITDA и чистая прибыль по месяцам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отчеты'!$A$5</c:f>
              <c:strCache>
                <c:ptCount val="1"/>
                <c:pt idx="0">
                  <c:v>Выручка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отчеты'!$B$5:$AK$5</c:f>
              <c:numCache>
                <c:formatCode>#\ ##0.0</c:formatCode>
                <c:ptCount val="36"/>
                <c:pt idx="0">
                  <c:v>1735.3208333333337</c:v>
                </c:pt>
                <c:pt idx="1">
                  <c:v>1782.3506458333331</c:v>
                </c:pt>
                <c:pt idx="2">
                  <c:v>1831.9609055208332</c:v>
                </c:pt>
                <c:pt idx="3">
                  <c:v>1884.1903191036458</c:v>
                </c:pt>
                <c:pt idx="4">
                  <c:v>1939.0781738902006</c:v>
                </c:pt>
                <c:pt idx="5">
                  <c:v>1034.4190926841873</c:v>
                </c:pt>
                <c:pt idx="6">
                  <c:v>1051.5603773468968</c:v>
                </c:pt>
                <c:pt idx="7">
                  <c:v>1069.4509687795471</c:v>
                </c:pt>
                <c:pt idx="8">
                  <c:v>2208.1246704431946</c:v>
                </c:pt>
                <c:pt idx="9">
                  <c:v>2267.2294943205566</c:v>
                </c:pt>
                <c:pt idx="10">
                  <c:v>2316.2615155560793</c:v>
                </c:pt>
                <c:pt idx="11">
                  <c:v>2355.2665171101344</c:v>
                </c:pt>
                <c:pt idx="12">
                  <c:v>2394.8565936874998</c:v>
                </c:pt>
                <c:pt idx="13">
                  <c:v>2435.0405214135262</c:v>
                </c:pt>
                <c:pt idx="14">
                  <c:v>2475.8272080554439</c:v>
                </c:pt>
                <c:pt idx="15">
                  <c:v>2517.2256949969897</c:v>
                </c:pt>
                <c:pt idx="16">
                  <c:v>2559.2451592426582</c:v>
                </c:pt>
                <c:pt idx="17">
                  <c:v>1356.4145678541668</c:v>
                </c:pt>
                <c:pt idx="18">
                  <c:v>1369.4175899947147</c:v>
                </c:pt>
                <c:pt idx="19">
                  <c:v>1382.6156574673705</c:v>
                </c:pt>
                <c:pt idx="20">
                  <c:v>2812.0591390902405</c:v>
                </c:pt>
                <c:pt idx="21">
                  <c:v>2859.5893806080744</c:v>
                </c:pt>
                <c:pt idx="22">
                  <c:v>2907.8325757486746</c:v>
                </c:pt>
                <c:pt idx="23">
                  <c:v>2956.7994188163834</c:v>
                </c:pt>
                <c:pt idx="24">
                  <c:v>3006.5007645301093</c:v>
                </c:pt>
                <c:pt idx="25">
                  <c:v>3056.9476304295399</c:v>
                </c:pt>
                <c:pt idx="26">
                  <c:v>3108.1511993174622</c:v>
                </c:pt>
                <c:pt idx="27">
                  <c:v>3160.1228217387038</c:v>
                </c:pt>
                <c:pt idx="28">
                  <c:v>3212.8740184962635</c:v>
                </c:pt>
                <c:pt idx="29">
                  <c:v>1702.841600629665</c:v>
                </c:pt>
                <c:pt idx="30">
                  <c:v>1719.1655826625781</c:v>
                </c:pt>
                <c:pt idx="31">
                  <c:v>1735.7344244259853</c:v>
                </c:pt>
                <c:pt idx="32">
                  <c:v>3530.2564562168081</c:v>
                </c:pt>
                <c:pt idx="33">
                  <c:v>3589.9258776921188</c:v>
                </c:pt>
                <c:pt idx="34">
                  <c:v>3650.490340489559</c:v>
                </c:pt>
                <c:pt idx="35">
                  <c:v>3711.9632702289605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A9-4FF4-8421-CA76BAB000A6}"/>
            </c:ext>
          </c:extLst>
        </c:ser>
        <c:ser>
          <c:idx val="1"/>
          <c:order val="1"/>
          <c:tx>
            <c:strRef>
              <c:f>'Графические отчеты'!$A$6</c:f>
              <c:strCache>
                <c:ptCount val="1"/>
                <c:pt idx="0">
                  <c:v>EBITDA</c:v>
                </c:pt>
              </c:strCache>
            </c:strRef>
          </c:tx>
          <c:spPr>
            <a:ln w="28575" cap="rnd">
              <a:solidFill>
                <a:srgbClr val="54823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отчеты'!$B$6:$AK$6</c:f>
              <c:numCache>
                <c:formatCode>#\ ##0.0</c:formatCode>
                <c:ptCount val="36"/>
                <c:pt idx="0">
                  <c:v>-67.504669540229543</c:v>
                </c:pt>
                <c:pt idx="1">
                  <c:v>-29.645023550646783</c:v>
                </c:pt>
                <c:pt idx="2">
                  <c:v>10.411046346240028</c:v>
                </c:pt>
                <c:pt idx="3">
                  <c:v>52.69259103151785</c:v>
                </c:pt>
                <c:pt idx="4">
                  <c:v>97.229033678880796</c:v>
                </c:pt>
                <c:pt idx="5">
                  <c:v>-616.1180812221935</c:v>
                </c:pt>
                <c:pt idx="6">
                  <c:v>-603.13873788233514</c:v>
                </c:pt>
                <c:pt idx="7">
                  <c:v>-589.5429765001561</c:v>
                </c:pt>
                <c:pt idx="8">
                  <c:v>329.27215286705473</c:v>
                </c:pt>
                <c:pt idx="9">
                  <c:v>377.20289207779592</c:v>
                </c:pt>
                <c:pt idx="10">
                  <c:v>415.92069553065289</c:v>
                </c:pt>
                <c:pt idx="11">
                  <c:v>445.47970716256191</c:v>
                </c:pt>
                <c:pt idx="12">
                  <c:v>402.87397607598314</c:v>
                </c:pt>
                <c:pt idx="13">
                  <c:v>433.22450981452653</c:v>
                </c:pt>
                <c:pt idx="14">
                  <c:v>463.97823207880401</c:v>
                </c:pt>
                <c:pt idx="15">
                  <c:v>495.14016705194081</c:v>
                </c:pt>
                <c:pt idx="16">
                  <c:v>526.7153938383924</c:v>
                </c:pt>
                <c:pt idx="17">
                  <c:v>-426.09200005352386</c:v>
                </c:pt>
                <c:pt idx="18">
                  <c:v>-417.5555281442505</c:v>
                </c:pt>
                <c:pt idx="19">
                  <c:v>-408.91003384432861</c:v>
                </c:pt>
                <c:pt idx="20">
                  <c:v>741.43818416092859</c:v>
                </c:pt>
                <c:pt idx="21">
                  <c:v>777.45058996989542</c:v>
                </c:pt>
                <c:pt idx="22">
                  <c:v>813.94203495841543</c:v>
                </c:pt>
                <c:pt idx="23">
                  <c:v>850.91850412892768</c:v>
                </c:pt>
                <c:pt idx="24">
                  <c:v>812.20010001599007</c:v>
                </c:pt>
                <c:pt idx="25">
                  <c:v>850.16483629638128</c:v>
                </c:pt>
                <c:pt idx="26">
                  <c:v>888.63294863854549</c:v>
                </c:pt>
                <c:pt idx="27">
                  <c:v>927.61068830838281</c:v>
                </c:pt>
                <c:pt idx="28">
                  <c:v>967.10437439323709</c:v>
                </c:pt>
                <c:pt idx="29">
                  <c:v>-225.55827644364194</c:v>
                </c:pt>
                <c:pt idx="30">
                  <c:v>-214.90396034780883</c:v>
                </c:pt>
                <c:pt idx="31">
                  <c:v>-204.11397871291479</c:v>
                </c:pt>
                <c:pt idx="32">
                  <c:v>1236.1353308652695</c:v>
                </c:pt>
                <c:pt idx="33">
                  <c:v>1281.1844576150886</c:v>
                </c:pt>
                <c:pt idx="34">
                  <c:v>1326.8317037490303</c:v>
                </c:pt>
                <c:pt idx="35">
                  <c:v>1373.0845170814143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A9-4FF4-8421-CA76BAB000A6}"/>
            </c:ext>
          </c:extLst>
        </c:ser>
        <c:ser>
          <c:idx val="2"/>
          <c:order val="2"/>
          <c:tx>
            <c:strRef>
              <c:f>'Графические отчеты'!$A$7</c:f>
              <c:strCache>
                <c:ptCount val="1"/>
                <c:pt idx="0">
                  <c:v>Чистая прибыль</c:v>
                </c:pt>
              </c:strCache>
            </c:strRef>
          </c:tx>
          <c:spPr>
            <a:ln w="28575" cap="rnd">
              <a:solidFill>
                <a:srgbClr val="C55A1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отчеты'!$B$7:$AK$7</c:f>
              <c:numCache>
                <c:formatCode>#\ ##0.0</c:formatCode>
                <c:ptCount val="36"/>
                <c:pt idx="0">
                  <c:v>-117.50466954022954</c:v>
                </c:pt>
                <c:pt idx="1">
                  <c:v>-79.645023550646783</c:v>
                </c:pt>
                <c:pt idx="2">
                  <c:v>-39.588953653759972</c:v>
                </c:pt>
                <c:pt idx="3">
                  <c:v>2.6925910315178498</c:v>
                </c:pt>
                <c:pt idx="4">
                  <c:v>47.229033678880796</c:v>
                </c:pt>
                <c:pt idx="5">
                  <c:v>-666.1180812221935</c:v>
                </c:pt>
                <c:pt idx="6">
                  <c:v>-653.13873788233514</c:v>
                </c:pt>
                <c:pt idx="7">
                  <c:v>-639.5429765001561</c:v>
                </c:pt>
                <c:pt idx="8">
                  <c:v>279.27215286705473</c:v>
                </c:pt>
                <c:pt idx="9">
                  <c:v>327.20289207779592</c:v>
                </c:pt>
                <c:pt idx="10">
                  <c:v>365.92069553065289</c:v>
                </c:pt>
                <c:pt idx="11">
                  <c:v>395.47970716256191</c:v>
                </c:pt>
                <c:pt idx="12">
                  <c:v>360.87397607598314</c:v>
                </c:pt>
                <c:pt idx="13">
                  <c:v>391.22450981452653</c:v>
                </c:pt>
                <c:pt idx="14">
                  <c:v>421.97823207880401</c:v>
                </c:pt>
                <c:pt idx="15">
                  <c:v>453.14016705194081</c:v>
                </c:pt>
                <c:pt idx="16">
                  <c:v>484.7153938383924</c:v>
                </c:pt>
                <c:pt idx="17">
                  <c:v>-468.09200005352386</c:v>
                </c:pt>
                <c:pt idx="18">
                  <c:v>-459.5555281442505</c:v>
                </c:pt>
                <c:pt idx="19">
                  <c:v>-450.91003384432861</c:v>
                </c:pt>
                <c:pt idx="20">
                  <c:v>699.43818416092859</c:v>
                </c:pt>
                <c:pt idx="21">
                  <c:v>735.45058996989542</c:v>
                </c:pt>
                <c:pt idx="22">
                  <c:v>739.44920377723042</c:v>
                </c:pt>
                <c:pt idx="23">
                  <c:v>647.13480330314212</c:v>
                </c:pt>
                <c:pt idx="24">
                  <c:v>622.56008001279201</c:v>
                </c:pt>
                <c:pt idx="25">
                  <c:v>652.931869037105</c:v>
                </c:pt>
                <c:pt idx="26">
                  <c:v>683.70635891083634</c:v>
                </c:pt>
                <c:pt idx="27">
                  <c:v>714.88855064670622</c:v>
                </c:pt>
                <c:pt idx="28">
                  <c:v>746.48349951458965</c:v>
                </c:pt>
                <c:pt idx="29">
                  <c:v>-259.55827644364194</c:v>
                </c:pt>
                <c:pt idx="30">
                  <c:v>-248.90396034780883</c:v>
                </c:pt>
                <c:pt idx="31">
                  <c:v>-238.11397871291479</c:v>
                </c:pt>
                <c:pt idx="32">
                  <c:v>961.70826469221561</c:v>
                </c:pt>
                <c:pt idx="33">
                  <c:v>997.74756609207088</c:v>
                </c:pt>
                <c:pt idx="34">
                  <c:v>1034.2653629992242</c:v>
                </c:pt>
                <c:pt idx="35">
                  <c:v>1071.2676136651314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A9-4FF4-8421-CA76BAB00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Offset val="100"/>
        <c:baseTimeUnit val="months"/>
        <c:majorUnit val="3"/>
        <c:majorTimeUnit val="months"/>
      </c:date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тыс. руб.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baseline="0">
              <a:solidFill>
                <a:srgbClr val="40404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Остаток денежных средств на конец месяца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отчеты'!$A$8</c:f>
              <c:strCache>
                <c:ptCount val="1"/>
                <c:pt idx="0">
                  <c:v>Денежные средства на конец месяца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отчеты'!$B$8:$AK$8</c:f>
              <c:numCache>
                <c:formatCode>#\ ##0.0</c:formatCode>
                <c:ptCount val="36"/>
                <c:pt idx="0">
                  <c:v>2372.4953304597707</c:v>
                </c:pt>
                <c:pt idx="1">
                  <c:v>2312.8503069091239</c:v>
                </c:pt>
                <c:pt idx="2">
                  <c:v>2293.2613532553642</c:v>
                </c:pt>
                <c:pt idx="3">
                  <c:v>2315.9539442868818</c:v>
                </c:pt>
                <c:pt idx="4">
                  <c:v>2383.1829779657628</c:v>
                </c:pt>
                <c:pt idx="5">
                  <c:v>1737.0648967435693</c:v>
                </c:pt>
                <c:pt idx="6">
                  <c:v>1103.9261588612342</c:v>
                </c:pt>
                <c:pt idx="7">
                  <c:v>484.38318236107796</c:v>
                </c:pt>
                <c:pt idx="8">
                  <c:v>783.65533522813246</c:v>
                </c:pt>
                <c:pt idx="9">
                  <c:v>1130.8582273059283</c:v>
                </c:pt>
                <c:pt idx="10">
                  <c:v>1516.7789228365809</c:v>
                </c:pt>
                <c:pt idx="11">
                  <c:v>1932.2586299991426</c:v>
                </c:pt>
                <c:pt idx="12">
                  <c:v>2305.1326060751258</c:v>
                </c:pt>
                <c:pt idx="13">
                  <c:v>2708.3571158896525</c:v>
                </c:pt>
                <c:pt idx="14">
                  <c:v>3142.3353479684565</c:v>
                </c:pt>
                <c:pt idx="15">
                  <c:v>3607.4755150203973</c:v>
                </c:pt>
                <c:pt idx="16">
                  <c:v>4104.19090885879</c:v>
                </c:pt>
                <c:pt idx="17">
                  <c:v>3648.0989088052661</c:v>
                </c:pt>
                <c:pt idx="18">
                  <c:v>3200.5433806610154</c:v>
                </c:pt>
                <c:pt idx="19">
                  <c:v>2761.6333468166868</c:v>
                </c:pt>
                <c:pt idx="20">
                  <c:v>3473.0715309776151</c:v>
                </c:pt>
                <c:pt idx="21">
                  <c:v>4220.5221209475103</c:v>
                </c:pt>
                <c:pt idx="22">
                  <c:v>4971.971324724741</c:v>
                </c:pt>
                <c:pt idx="23">
                  <c:v>5631.1061280278827</c:v>
                </c:pt>
                <c:pt idx="24">
                  <c:v>6257.666208040675</c:v>
                </c:pt>
                <c:pt idx="25">
                  <c:v>6914.5980770777805</c:v>
                </c:pt>
                <c:pt idx="26">
                  <c:v>7602.3044359886171</c:v>
                </c:pt>
                <c:pt idx="27">
                  <c:v>8321.1929866353239</c:v>
                </c:pt>
                <c:pt idx="28">
                  <c:v>9071.6764861499141</c:v>
                </c:pt>
                <c:pt idx="29">
                  <c:v>8816.118209706272</c:v>
                </c:pt>
                <c:pt idx="30">
                  <c:v>8571.2142493584633</c:v>
                </c:pt>
                <c:pt idx="31">
                  <c:v>8337.1002706455492</c:v>
                </c:pt>
                <c:pt idx="32">
                  <c:v>9302.8085353377646</c:v>
                </c:pt>
                <c:pt idx="33">
                  <c:v>10304.556101429836</c:v>
                </c:pt>
                <c:pt idx="34">
                  <c:v>11342.82146442906</c:v>
                </c:pt>
                <c:pt idx="35">
                  <c:v>12418.089078094192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DB-48D9-81AE-BF157D5C6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Offset val="100"/>
        <c:baseTimeUnit val="months"/>
        <c:majorUnit val="3"/>
        <c:majorTimeUnit val="months"/>
      </c:dateAx>
      <c:valAx>
        <c:axId val="1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тыс. руб.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Коэффициент финансовой устойчивости и критический уровень 0,8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отчеты'!$A$10</c:f>
              <c:strCache>
                <c:ptCount val="1"/>
                <c:pt idx="0">
                  <c:v>Коэфф. финансовой устойчивости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отчеты'!$B$10:$AK$10</c:f>
              <c:numCache>
                <c:formatCode>0.00</c:formatCode>
                <c:ptCount val="36"/>
                <c:pt idx="0">
                  <c:v>0.93151702463595309</c:v>
                </c:pt>
                <c:pt idx="1">
                  <c:v>0.92790651471497698</c:v>
                </c:pt>
                <c:pt idx="2">
                  <c:v>0.92505009755840872</c:v>
                </c:pt>
                <c:pt idx="3">
                  <c:v>0.92314803724005201</c:v>
                </c:pt>
                <c:pt idx="4">
                  <c:v>0.92233000842616075</c:v>
                </c:pt>
                <c:pt idx="5">
                  <c:v>0.94411554112838703</c:v>
                </c:pt>
                <c:pt idx="6">
                  <c:v>0.91963176357282583</c:v>
                </c:pt>
                <c:pt idx="7">
                  <c:v>0.86240834554675605</c:v>
                </c:pt>
                <c:pt idx="8">
                  <c:v>0.80352290668413229</c:v>
                </c:pt>
                <c:pt idx="9">
                  <c:v>0.83833657745690149</c:v>
                </c:pt>
                <c:pt idx="10">
                  <c:v>0.86472609995068694</c:v>
                </c:pt>
                <c:pt idx="11">
                  <c:v>0.88486982651462065</c:v>
                </c:pt>
                <c:pt idx="12">
                  <c:v>0.89810983073667727</c:v>
                </c:pt>
                <c:pt idx="13">
                  <c:v>0.90915615351842538</c:v>
                </c:pt>
                <c:pt idx="14">
                  <c:v>0.91845626543924319</c:v>
                </c:pt>
                <c:pt idx="15">
                  <c:v>0.92635281088729904</c:v>
                </c:pt>
                <c:pt idx="16">
                  <c:v>0.93311057931924812</c:v>
                </c:pt>
                <c:pt idx="17">
                  <c:v>0.95909144981242889</c:v>
                </c:pt>
                <c:pt idx="18">
                  <c:v>0.95332689140977733</c:v>
                </c:pt>
                <c:pt idx="19">
                  <c:v>0.94598361454215174</c:v>
                </c:pt>
                <c:pt idx="20">
                  <c:v>0.91440824291288336</c:v>
                </c:pt>
                <c:pt idx="21">
                  <c:v>0.92673469370932438</c:v>
                </c:pt>
                <c:pt idx="22">
                  <c:v>0.93572561899402018</c:v>
                </c:pt>
                <c:pt idx="23">
                  <c:v>0.9416605594649845</c:v>
                </c:pt>
                <c:pt idx="24">
                  <c:v>0.94623605113191778</c:v>
                </c:pt>
                <c:pt idx="25">
                  <c:v>0.95022225241117453</c:v>
                </c:pt>
                <c:pt idx="26">
                  <c:v>0.95372067672028271</c:v>
                </c:pt>
                <c:pt idx="27">
                  <c:v>0.95681126088047252</c:v>
                </c:pt>
                <c:pt idx="28">
                  <c:v>0.95955775416075351</c:v>
                </c:pt>
                <c:pt idx="29">
                  <c:v>0.97752632290772146</c:v>
                </c:pt>
                <c:pt idx="30">
                  <c:v>0.97667745852444021</c:v>
                </c:pt>
                <c:pt idx="31">
                  <c:v>0.97580686092719704</c:v>
                </c:pt>
                <c:pt idx="32">
                  <c:v>0.95671247107111579</c:v>
                </c:pt>
                <c:pt idx="33">
                  <c:v>0.96007995136571245</c:v>
                </c:pt>
                <c:pt idx="34">
                  <c:v>0.96297952573195611</c:v>
                </c:pt>
                <c:pt idx="35">
                  <c:v>0.96550093007648785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7F-40E0-B4A5-31A410C5E54F}"/>
            </c:ext>
          </c:extLst>
        </c:ser>
        <c:ser>
          <c:idx val="1"/>
          <c:order val="1"/>
          <c:tx>
            <c:strRef>
              <c:f>'Графические отчеты'!$A$14</c:f>
              <c:strCache>
                <c:ptCount val="1"/>
                <c:pt idx="0">
                  <c:v>Критическое значение — фин. устойчивость (0,8)</c:v>
                </c:pt>
              </c:strCache>
            </c:strRef>
          </c:tx>
          <c:spPr>
            <a:ln w="2222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отчеты'!$B$14:$AK$14</c:f>
              <c:numCache>
                <c:formatCode>0.00</c:formatCode>
                <c:ptCount val="36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>0.8</c:v>
                </c:pt>
                <c:pt idx="33">
                  <c:v>0.8</c:v>
                </c:pt>
                <c:pt idx="34">
                  <c:v>0.8</c:v>
                </c:pt>
                <c:pt idx="35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7F-40E0-B4A5-31A410C5E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Offset val="100"/>
        <c:baseTimeUnit val="months"/>
        <c:majorUnit val="3"/>
        <c:majorTimeUnit val="months"/>
      </c:dateAx>
      <c:valAx>
        <c:axId val="100"/>
        <c:scaling>
          <c:orientation val="minMax"/>
          <c:max val="1"/>
          <c:min val="0.7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Коэффициент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  <c:majorUnit val="0.05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baseline="0">
              <a:solidFill>
                <a:srgbClr val="40404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Коэффициент текущей ликвидности и критический уровень 2,0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отчеты'!$A$11</c:f>
              <c:strCache>
                <c:ptCount val="1"/>
                <c:pt idx="0">
                  <c:v>Коэфф. текущей ликвидности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отчеты'!$B$11:$AK$11</c:f>
              <c:numCache>
                <c:formatCode>0.00</c:formatCode>
                <c:ptCount val="36"/>
                <c:pt idx="0">
                  <c:v>12.393163754347876</c:v>
                </c:pt>
                <c:pt idx="1">
                  <c:v>11.813670476476105</c:v>
                </c:pt>
                <c:pt idx="2">
                  <c:v>11.43172439954162</c:v>
                </c:pt>
                <c:pt idx="3">
                  <c:v>11.242922918514923</c:v>
                </c:pt>
                <c:pt idx="4">
                  <c:v>11.241906910783085</c:v>
                </c:pt>
                <c:pt idx="5">
                  <c:v>14.993884015263298</c:v>
                </c:pt>
                <c:pt idx="6">
                  <c:v>9.7483180760263544</c:v>
                </c:pt>
                <c:pt idx="7">
                  <c:v>4.7743913816657866</c:v>
                </c:pt>
                <c:pt idx="8">
                  <c:v>3.9574693921563626</c:v>
                </c:pt>
                <c:pt idx="9">
                  <c:v>5.1565349182733993</c:v>
                </c:pt>
                <c:pt idx="10">
                  <c:v>6.4569936391387941</c:v>
                </c:pt>
                <c:pt idx="11">
                  <c:v>7.8366595173058728</c:v>
                </c:pt>
                <c:pt idx="12">
                  <c:v>9.021122615271711</c:v>
                </c:pt>
                <c:pt idx="13">
                  <c:v>10.268692834447055</c:v>
                </c:pt>
                <c:pt idx="14">
                  <c:v>11.576718688015454</c:v>
                </c:pt>
                <c:pt idx="15">
                  <c:v>12.942630340319667</c:v>
                </c:pt>
                <c:pt idx="16">
                  <c:v>14.363936934153525</c:v>
                </c:pt>
                <c:pt idx="17">
                  <c:v>23.412634721357836</c:v>
                </c:pt>
                <c:pt idx="18">
                  <c:v>20.476305134173668</c:v>
                </c:pt>
                <c:pt idx="19">
                  <c:v>17.644980909320786</c:v>
                </c:pt>
                <c:pt idx="20">
                  <c:v>11.292195621287757</c:v>
                </c:pt>
                <c:pt idx="21">
                  <c:v>13.299324481014711</c:v>
                </c:pt>
                <c:pt idx="22">
                  <c:v>15.248789534259368</c:v>
                </c:pt>
                <c:pt idx="23">
                  <c:v>16.870499737522586</c:v>
                </c:pt>
                <c:pt idx="24">
                  <c:v>18.344821267154785</c:v>
                </c:pt>
                <c:pt idx="25">
                  <c:v>19.849407189294329</c:v>
                </c:pt>
                <c:pt idx="26">
                  <c:v>21.382707565990923</c:v>
                </c:pt>
                <c:pt idx="27">
                  <c:v>22.943221450638092</c:v>
                </c:pt>
                <c:pt idx="28">
                  <c:v>24.529495279317377</c:v>
                </c:pt>
                <c:pt idx="29">
                  <c:v>44.144149003868542</c:v>
                </c:pt>
                <c:pt idx="30">
                  <c:v>42.547356538337304</c:v>
                </c:pt>
                <c:pt idx="31">
                  <c:v>41.026765967776932</c:v>
                </c:pt>
                <c:pt idx="32">
                  <c:v>22.959708996389978</c:v>
                </c:pt>
                <c:pt idx="33">
                  <c:v>24.920076283149704</c:v>
                </c:pt>
                <c:pt idx="34">
                  <c:v>26.893374146252132</c:v>
                </c:pt>
                <c:pt idx="35">
                  <c:v>28.878528993203599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0-4743-80A6-1F2CD499C342}"/>
            </c:ext>
          </c:extLst>
        </c:ser>
        <c:ser>
          <c:idx val="1"/>
          <c:order val="1"/>
          <c:tx>
            <c:strRef>
              <c:f>'Графические отчеты'!$A$15</c:f>
              <c:strCache>
                <c:ptCount val="1"/>
                <c:pt idx="0">
                  <c:v>Критическое значение — тек. ликвидность (2)</c:v>
                </c:pt>
              </c:strCache>
            </c:strRef>
          </c:tx>
          <c:spPr>
            <a:ln w="2222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отчеты'!$B$15:$AK$15</c:f>
              <c:numCache>
                <c:formatCode>0.00</c:formatCode>
                <c:ptCount val="3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40-4743-80A6-1F2CD499C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Offset val="100"/>
        <c:baseTimeUnit val="months"/>
        <c:majorUnit val="3"/>
        <c:majorTimeUnit val="months"/>
      </c:dateAx>
      <c:valAx>
        <c:axId val="1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Коэффициент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baseline="0">
              <a:solidFill>
                <a:srgbClr val="40404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Активная база «постоянных» клиентов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'Графические отчеты'!$A$9</c:f>
              <c:strCache>
                <c:ptCount val="1"/>
                <c:pt idx="0">
                  <c:v>Активная база «постоянных» клиентов</c:v>
                </c:pt>
              </c:strCache>
            </c:strRef>
          </c:tx>
          <c:spPr>
            <a:ln w="28575" cap="rnd">
              <a:solidFill>
                <a:srgbClr val="2E75B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'Графические отчеты'!$B$4:$AK$4</c:f>
              <c:numCache>
                <c:formatCode>mmm\ yyyy</c:formatCode>
                <c:ptCount val="3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</c:numCache>
            </c:numRef>
          </c:cat>
          <c:val>
            <c:numRef>
              <c:f>'Графические отчеты'!$B$9:$AK$9</c:f>
              <c:numCache>
                <c:formatCode>#\ ##0.0</c:formatCode>
                <c:ptCount val="36"/>
                <c:pt idx="0">
                  <c:v>342.58500000000004</c:v>
                </c:pt>
                <c:pt idx="1">
                  <c:v>352.76377500000001</c:v>
                </c:pt>
                <c:pt idx="2">
                  <c:v>363.54523162499999</c:v>
                </c:pt>
                <c:pt idx="3">
                  <c:v>374.93841009937501</c:v>
                </c:pt>
                <c:pt idx="4">
                  <c:v>386.9524862508656</c:v>
                </c:pt>
                <c:pt idx="5">
                  <c:v>393.2746298977471</c:v>
                </c:pt>
                <c:pt idx="6">
                  <c:v>399.9166056993318</c:v>
                </c:pt>
                <c:pt idx="7">
                  <c:v>406.88321113794029</c:v>
                </c:pt>
                <c:pt idx="8">
                  <c:v>421.47542017831552</c:v>
                </c:pt>
                <c:pt idx="9">
                  <c:v>433.73651235429634</c:v>
                </c:pt>
                <c:pt idx="10">
                  <c:v>443.67652091291689</c:v>
                </c:pt>
                <c:pt idx="11">
                  <c:v>451.30562959991676</c:v>
                </c:pt>
                <c:pt idx="12">
                  <c:v>459.04917491722142</c:v>
                </c:pt>
                <c:pt idx="13">
                  <c:v>466.90887341428584</c:v>
                </c:pt>
                <c:pt idx="14">
                  <c:v>474.8864673888063</c:v>
                </c:pt>
                <c:pt idx="15">
                  <c:v>482.98372527294453</c:v>
                </c:pt>
                <c:pt idx="16">
                  <c:v>491.20244202534468</c:v>
                </c:pt>
                <c:pt idx="17">
                  <c:v>495.3734407771878</c:v>
                </c:pt>
                <c:pt idx="18">
                  <c:v>499.60700451030863</c:v>
                </c:pt>
                <c:pt idx="19">
                  <c:v>503.90407169942614</c:v>
                </c:pt>
                <c:pt idx="20">
                  <c:v>512.62711809333473</c:v>
                </c:pt>
                <c:pt idx="21">
                  <c:v>521.48101018315219</c:v>
                </c:pt>
                <c:pt idx="22">
                  <c:v>530.46771065431665</c:v>
                </c:pt>
                <c:pt idx="23">
                  <c:v>539.58921163254865</c:v>
                </c:pt>
                <c:pt idx="24">
                  <c:v>548.84753512545421</c:v>
                </c:pt>
                <c:pt idx="25">
                  <c:v>558.24473347075332</c:v>
                </c:pt>
                <c:pt idx="26">
                  <c:v>567.78288979123181</c:v>
                </c:pt>
                <c:pt idx="27">
                  <c:v>577.46411845651767</c:v>
                </c:pt>
                <c:pt idx="28">
                  <c:v>587.29056555178272</c:v>
                </c:pt>
                <c:pt idx="29">
                  <c:v>592.27748745262966</c:v>
                </c:pt>
                <c:pt idx="30">
                  <c:v>597.33921318198941</c:v>
                </c:pt>
                <c:pt idx="31">
                  <c:v>602.47686479728952</c:v>
                </c:pt>
                <c:pt idx="32">
                  <c:v>612.90629757634872</c:v>
                </c:pt>
                <c:pt idx="33">
                  <c:v>623.49217184709391</c:v>
                </c:pt>
                <c:pt idx="34">
                  <c:v>634.23683423190016</c:v>
                </c:pt>
                <c:pt idx="35">
                  <c:v>645.14266655247854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4-4FE4-B505-698B236ED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\ 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Offset val="100"/>
        <c:baseTimeUnit val="months"/>
        <c:majorUnit val="3"/>
        <c:majorTimeUnit val="months"/>
      </c:dateAx>
      <c:valAx>
        <c:axId val="1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Клиентов, чел.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Основные показатели ОПУ по годам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'Графические отчеты'!$A$19</c:f>
              <c:strCache>
                <c:ptCount val="1"/>
                <c:pt idx="0">
                  <c:v>Выручка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отчеты'!$B$18:$D$18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'Графические отчеты'!$B$19:$D$19</c:f>
              <c:numCache>
                <c:formatCode>#\ ##0.0</c:formatCode>
                <c:ptCount val="3"/>
                <c:pt idx="0">
                  <c:v>21475.213513921939</c:v>
                </c:pt>
                <c:pt idx="1">
                  <c:v>28026.923506975745</c:v>
                </c:pt>
                <c:pt idx="2">
                  <c:v>35184.973986857753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CC-4718-832C-889B38613BA6}"/>
            </c:ext>
          </c:extLst>
        </c:ser>
        <c:ser>
          <c:idx val="1"/>
          <c:order val="1"/>
          <c:tx>
            <c:strRef>
              <c:f>'Графические отчеты'!$A$20</c:f>
              <c:strCache>
                <c:ptCount val="1"/>
                <c:pt idx="0">
                  <c:v>Валовая прибыль</c:v>
                </c:pt>
              </c:strCache>
            </c:strRef>
          </c:tx>
          <c:spPr>
            <a:solidFill>
              <a:srgbClr val="9DC3E6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отчеты'!$B$18:$D$18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'Графические отчеты'!$B$20:$D$20</c:f>
              <c:numCache>
                <c:formatCode>#\ ##0.0</c:formatCode>
                <c:ptCount val="3"/>
                <c:pt idx="0">
                  <c:v>17236.189664481903</c:v>
                </c:pt>
                <c:pt idx="1">
                  <c:v>22537.751616242607</c:v>
                </c:pt>
                <c:pt idx="2">
                  <c:v>28217.23170697621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CC-4718-832C-889B38613BA6}"/>
            </c:ext>
          </c:extLst>
        </c:ser>
        <c:ser>
          <c:idx val="2"/>
          <c:order val="2"/>
          <c:tx>
            <c:strRef>
              <c:f>'Графические отчеты'!$A$21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отчеты'!$B$18:$D$18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'Графические отчеты'!$B$21:$D$21</c:f>
              <c:numCache>
                <c:formatCode>#\ ##0.0</c:formatCode>
                <c:ptCount val="3"/>
                <c:pt idx="0">
                  <c:v>-177.74137000085693</c:v>
                </c:pt>
                <c:pt idx="1">
                  <c:v>4253.1240300357103</c:v>
                </c:pt>
                <c:pt idx="2">
                  <c:v>9018.3727414589739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C-4718-832C-889B38613BA6}"/>
            </c:ext>
          </c:extLst>
        </c:ser>
        <c:ser>
          <c:idx val="3"/>
          <c:order val="3"/>
          <c:tx>
            <c:strRef>
              <c:f>'Графические отчеты'!$A$22</c:f>
              <c:strCache>
                <c:ptCount val="1"/>
                <c:pt idx="0">
                  <c:v>Чистая прибыль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отчеты'!$B$18:$D$18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'Графические отчеты'!$B$22:$D$22</c:f>
              <c:numCache>
                <c:formatCode>#\ ##0.0</c:formatCode>
                <c:ptCount val="3"/>
                <c:pt idx="0">
                  <c:v>-777.74137000085693</c:v>
                </c:pt>
                <c:pt idx="1">
                  <c:v>3554.8474980287406</c:v>
                </c:pt>
                <c:pt idx="2">
                  <c:v>6738.9829500663054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CC-4718-832C-889B38613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тыс. руб.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baseline="0">
              <a:solidFill>
                <a:srgbClr val="40404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Юнит-экономика: LTV и CAC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'Графические отчеты'!$B$25</c:f>
              <c:strCache>
                <c:ptCount val="1"/>
                <c:pt idx="0">
                  <c:v>Значение, руб.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D7D3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1CA-4863-A52B-4DA3E0E0AE6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1CA-4863-A52B-4DA3E0E0AE60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отчеты'!$A$26:$A$27</c:f>
              <c:strCache>
                <c:ptCount val="2"/>
                <c:pt idx="0">
                  <c:v>CAC смешанный</c:v>
                </c:pt>
                <c:pt idx="1">
                  <c:v>LTV смешанный</c:v>
                </c:pt>
              </c:strCache>
            </c:strRef>
          </c:cat>
          <c:val>
            <c:numRef>
              <c:f>'Графические отчеты'!$B$26:$B$27</c:f>
              <c:numCache>
                <c:formatCode>#,##0.00</c:formatCode>
                <c:ptCount val="2"/>
                <c:pt idx="0">
                  <c:v>1291.6666666666665</c:v>
                </c:pt>
                <c:pt idx="1">
                  <c:v>15541.66666666667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A-4863-A52B-4DA3E0E0A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руб. на одного клиента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baseline="0">
                <a:solidFill>
                  <a:srgbClr val="404040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rgbClr val="404040"/>
                </a:solidFill>
                <a:latin typeface="+mn-lt"/>
              </a:rPr>
              <a:t>План-факт за март 2022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'Графические отчеты'!$B$30</c:f>
              <c:strCache>
                <c:ptCount val="1"/>
                <c:pt idx="0">
                  <c:v>План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отчеты'!$A$31:$A$33</c:f>
              <c:strCache>
                <c:ptCount val="3"/>
                <c:pt idx="0">
                  <c:v>Выручка</c:v>
                </c:pt>
                <c:pt idx="1">
                  <c:v>Валовая прибыль</c:v>
                </c:pt>
                <c:pt idx="2">
                  <c:v>Чистая прибыль</c:v>
                </c:pt>
              </c:strCache>
            </c:strRef>
          </c:cat>
          <c:val>
            <c:numRef>
              <c:f>'Графические отчеты'!$B$31:$B$33</c:f>
              <c:numCache>
                <c:formatCode>#\ ##0.0</c:formatCode>
                <c:ptCount val="3"/>
                <c:pt idx="0">
                  <c:v>1831.9609055208332</c:v>
                </c:pt>
                <c:pt idx="1">
                  <c:v>1461.57196588647</c:v>
                </c:pt>
                <c:pt idx="2">
                  <c:v>-39.588953653759972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5-4AE5-BEF6-4A6F855A8468}"/>
            </c:ext>
          </c:extLst>
        </c:ser>
        <c:ser>
          <c:idx val="1"/>
          <c:order val="1"/>
          <c:tx>
            <c:strRef>
              <c:f>'Графические отчеты'!$C$30</c:f>
              <c:strCache>
                <c:ptCount val="1"/>
                <c:pt idx="0">
                  <c:v>Факт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'Графические отчеты'!$A$31:$A$33</c:f>
              <c:strCache>
                <c:ptCount val="3"/>
                <c:pt idx="0">
                  <c:v>Выручка</c:v>
                </c:pt>
                <c:pt idx="1">
                  <c:v>Валовая прибыль</c:v>
                </c:pt>
                <c:pt idx="2">
                  <c:v>Чистая прибыль</c:v>
                </c:pt>
              </c:strCache>
            </c:strRef>
          </c:cat>
          <c:val>
            <c:numRef>
              <c:f>'Графические отчеты'!$C$31:$C$33</c:f>
              <c:numCache>
                <c:formatCode>#\ ##0.0</c:formatCode>
                <c:ptCount val="3"/>
                <c:pt idx="0">
                  <c:v>1295</c:v>
                </c:pt>
                <c:pt idx="1">
                  <c:v>924.64613151041669</c:v>
                </c:pt>
                <c:pt idx="2">
                  <c:v>-576.5147880298133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E5-4AE5-BEF6-4A6F855A84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-1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000" b="0">
                    <a:solidFill>
                      <a:srgbClr val="595959"/>
                    </a:solidFill>
                    <a:latin typeface="+mn-lt"/>
                  </a:rPr>
                  <a:t>тыс. руб.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"/>
        <c:crosses val="autoZero"/>
        <c:crossBetween val="between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baseline="0">
              <a:solidFill>
                <a:srgbClr val="40404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1"/>
  </c:chart>
  <c:spPr>
    <a:solidFill>
      <a:srgbClr val="FFFFFF"/>
    </a:solidFill>
    <a:ln w="9525" cap="flat" cmpd="sng" algn="ctr">
      <a:solidFill>
        <a:srgbClr val="D9D9D9"/>
      </a:solidFill>
      <a:round/>
    </a:ln>
  </c:spPr>
  <c:txPr>
    <a:bodyPr rot="0" spcFirstLastPara="1" vertOverflow="ellipsis" vert="horz" wrap="square" anchor="ctr" anchorCtr="1"/>
    <a:lstStyle/>
    <a:p>
      <a:pPr>
        <a:defRPr sz="900" b="0" i="0" u="none" strike="noStrike" baseline="0">
          <a:solidFill>
            <a:srgbClr val="595959"/>
          </a:solidFill>
          <a:latin typeface="+mn-lt"/>
          <a:ea typeface="+mn-ea"/>
          <a:cs typeface="+mn-cs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8640000" cy="3600000"/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56</xdr:row>
      <xdr:rowOff>0</xdr:rowOff>
    </xdr:from>
    <xdr:ext cx="8640000" cy="3600000"/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77</xdr:row>
      <xdr:rowOff>0</xdr:rowOff>
    </xdr:from>
    <xdr:ext cx="8640000" cy="3600000"/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0</xdr:colOff>
      <xdr:row>98</xdr:row>
      <xdr:rowOff>0</xdr:rowOff>
    </xdr:from>
    <xdr:ext cx="8640000" cy="3600000"/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0</xdr:colOff>
      <xdr:row>119</xdr:row>
      <xdr:rowOff>0</xdr:rowOff>
    </xdr:from>
    <xdr:ext cx="8640000" cy="3600000"/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0</xdr:colOff>
      <xdr:row>140</xdr:row>
      <xdr:rowOff>0</xdr:rowOff>
    </xdr:from>
    <xdr:ext cx="8640000" cy="3600000"/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0</xdr:col>
      <xdr:colOff>0</xdr:colOff>
      <xdr:row>161</xdr:row>
      <xdr:rowOff>0</xdr:rowOff>
    </xdr:from>
    <xdr:ext cx="8640000" cy="3600000"/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0</xdr:col>
      <xdr:colOff>0</xdr:colOff>
      <xdr:row>182</xdr:row>
      <xdr:rowOff>0</xdr:rowOff>
    </xdr:from>
    <xdr:ext cx="8640000" cy="3600000"/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workbookViewId="0">
      <pane ySplit="3" topLeftCell="A79" activePane="bottomLeft" state="frozen"/>
      <selection pane="bottomLeft" activeCell="M31" sqref="M31"/>
    </sheetView>
  </sheetViews>
  <sheetFormatPr defaultRowHeight="14.5" x14ac:dyDescent="0.35"/>
  <cols>
    <col min="1" max="1" width="58" customWidth="1"/>
    <col min="2" max="2" width="14" customWidth="1"/>
    <col min="3" max="3" width="12" customWidth="1"/>
    <col min="4" max="8" width="2" customWidth="1"/>
    <col min="9" max="10" width="17" customWidth="1"/>
  </cols>
  <sheetData>
    <row r="1" spans="1:10" x14ac:dyDescent="0.35">
      <c r="A1" s="1" t="s">
        <v>0</v>
      </c>
      <c r="C1" s="2">
        <v>1</v>
      </c>
    </row>
    <row r="3" spans="1:10" x14ac:dyDescent="0.35">
      <c r="A3" s="3" t="s">
        <v>1</v>
      </c>
      <c r="B3" s="3" t="s">
        <v>2</v>
      </c>
      <c r="C3" s="3" t="s">
        <v>3</v>
      </c>
      <c r="I3" s="4" t="s">
        <v>4</v>
      </c>
      <c r="J3" s="4" t="s">
        <v>5</v>
      </c>
    </row>
    <row r="4" spans="1:10" x14ac:dyDescent="0.35">
      <c r="A4" s="5" t="s">
        <v>6</v>
      </c>
      <c r="B4" s="5"/>
      <c r="C4" s="5"/>
      <c r="I4" s="5"/>
      <c r="J4" s="5"/>
    </row>
    <row r="5" spans="1:10" x14ac:dyDescent="0.35">
      <c r="A5" t="s">
        <v>7</v>
      </c>
      <c r="B5" t="s">
        <v>8</v>
      </c>
      <c r="C5" s="6">
        <f>INDEX(I5:J5,1,$C$1)</f>
        <v>1.4999999999999999E-2</v>
      </c>
      <c r="I5" s="7">
        <v>1.4999999999999999E-2</v>
      </c>
      <c r="J5" s="7">
        <v>0.02</v>
      </c>
    </row>
    <row r="6" spans="1:10" x14ac:dyDescent="0.35">
      <c r="A6" t="s">
        <v>9</v>
      </c>
      <c r="B6" t="s">
        <v>8</v>
      </c>
      <c r="C6" s="8">
        <f>INDEX(I6:J6,1,$C$1)</f>
        <v>0.7</v>
      </c>
      <c r="I6" s="9">
        <v>0.7</v>
      </c>
      <c r="J6" s="9">
        <v>0.7</v>
      </c>
    </row>
    <row r="7" spans="1:10" x14ac:dyDescent="0.35">
      <c r="A7" t="s">
        <v>10</v>
      </c>
      <c r="B7" t="s">
        <v>8</v>
      </c>
      <c r="C7" s="8">
        <f>INDEX(I7:J7,1,$C$1)</f>
        <v>0.3</v>
      </c>
      <c r="I7" s="9">
        <v>0.3</v>
      </c>
      <c r="J7" s="9">
        <v>0.3</v>
      </c>
    </row>
    <row r="9" spans="1:10" x14ac:dyDescent="0.35">
      <c r="A9" s="5" t="s">
        <v>11</v>
      </c>
      <c r="B9" s="5"/>
      <c r="C9" s="5"/>
      <c r="I9" s="5"/>
      <c r="J9" s="5"/>
    </row>
    <row r="10" spans="1:10" x14ac:dyDescent="0.35">
      <c r="A10">
        <v>1</v>
      </c>
      <c r="C10" s="10">
        <f t="shared" ref="C10:C21" si="0">INDEX(I10:J10,1,$C$1)</f>
        <v>1</v>
      </c>
      <c r="I10" s="11">
        <v>1</v>
      </c>
      <c r="J10" s="11">
        <v>1</v>
      </c>
    </row>
    <row r="11" spans="1:10" x14ac:dyDescent="0.35">
      <c r="A11">
        <v>2</v>
      </c>
      <c r="C11" s="10">
        <f t="shared" si="0"/>
        <v>1</v>
      </c>
      <c r="I11" s="11">
        <v>1</v>
      </c>
      <c r="J11" s="11">
        <v>1</v>
      </c>
    </row>
    <row r="12" spans="1:10" x14ac:dyDescent="0.35">
      <c r="A12">
        <v>3</v>
      </c>
      <c r="C12" s="10">
        <f t="shared" si="0"/>
        <v>1</v>
      </c>
      <c r="I12" s="11">
        <v>1</v>
      </c>
      <c r="J12" s="11">
        <v>1</v>
      </c>
    </row>
    <row r="13" spans="1:10" x14ac:dyDescent="0.35">
      <c r="A13">
        <v>4</v>
      </c>
      <c r="C13" s="10">
        <f t="shared" si="0"/>
        <v>1</v>
      </c>
      <c r="I13" s="11">
        <v>1</v>
      </c>
      <c r="J13" s="11">
        <v>1</v>
      </c>
    </row>
    <row r="14" spans="1:10" x14ac:dyDescent="0.35">
      <c r="A14">
        <v>5</v>
      </c>
      <c r="C14" s="10">
        <f t="shared" si="0"/>
        <v>1</v>
      </c>
      <c r="I14" s="11">
        <v>1</v>
      </c>
      <c r="J14" s="11">
        <v>1</v>
      </c>
    </row>
    <row r="15" spans="1:10" x14ac:dyDescent="0.35">
      <c r="A15">
        <v>6</v>
      </c>
      <c r="C15" s="10">
        <f t="shared" si="0"/>
        <v>0.5</v>
      </c>
      <c r="I15" s="11">
        <v>0.5</v>
      </c>
      <c r="J15" s="11">
        <v>0.5</v>
      </c>
    </row>
    <row r="16" spans="1:10" x14ac:dyDescent="0.35">
      <c r="A16">
        <v>7</v>
      </c>
      <c r="C16" s="10">
        <f t="shared" si="0"/>
        <v>0.5</v>
      </c>
      <c r="I16" s="11">
        <v>0.5</v>
      </c>
      <c r="J16" s="11">
        <v>0.5</v>
      </c>
    </row>
    <row r="17" spans="1:10" x14ac:dyDescent="0.35">
      <c r="A17">
        <v>8</v>
      </c>
      <c r="C17" s="10">
        <f t="shared" si="0"/>
        <v>0.5</v>
      </c>
      <c r="I17" s="11">
        <v>0.5</v>
      </c>
      <c r="J17" s="11">
        <v>0.5</v>
      </c>
    </row>
    <row r="18" spans="1:10" x14ac:dyDescent="0.35">
      <c r="A18">
        <v>9</v>
      </c>
      <c r="C18" s="10">
        <f t="shared" si="0"/>
        <v>1</v>
      </c>
      <c r="I18" s="11">
        <v>1</v>
      </c>
      <c r="J18" s="11">
        <v>1</v>
      </c>
    </row>
    <row r="19" spans="1:10" x14ac:dyDescent="0.35">
      <c r="A19">
        <v>10</v>
      </c>
      <c r="C19" s="10">
        <f t="shared" si="0"/>
        <v>1</v>
      </c>
      <c r="I19" s="11">
        <v>1</v>
      </c>
      <c r="J19" s="11">
        <v>1</v>
      </c>
    </row>
    <row r="20" spans="1:10" x14ac:dyDescent="0.35">
      <c r="A20">
        <v>11</v>
      </c>
      <c r="C20" s="10">
        <f t="shared" si="0"/>
        <v>1</v>
      </c>
      <c r="I20" s="11">
        <v>1</v>
      </c>
      <c r="J20" s="11">
        <v>1</v>
      </c>
    </row>
    <row r="21" spans="1:10" x14ac:dyDescent="0.35">
      <c r="A21">
        <v>12</v>
      </c>
      <c r="C21" s="10">
        <f t="shared" si="0"/>
        <v>1</v>
      </c>
      <c r="I21" s="11">
        <v>1</v>
      </c>
      <c r="J21" s="11">
        <v>1</v>
      </c>
    </row>
    <row r="23" spans="1:10" x14ac:dyDescent="0.35">
      <c r="A23" s="5" t="s">
        <v>12</v>
      </c>
      <c r="B23" s="5"/>
      <c r="C23" s="5"/>
      <c r="I23" s="5"/>
      <c r="J23" s="5"/>
    </row>
    <row r="24" spans="1:10" x14ac:dyDescent="0.35">
      <c r="A24" t="s">
        <v>13</v>
      </c>
      <c r="B24" t="s">
        <v>14</v>
      </c>
      <c r="C24" s="12">
        <f t="shared" ref="C24:C29" si="1">INDEX(I24:J24,1,$C$1)</f>
        <v>2</v>
      </c>
      <c r="I24" s="13">
        <v>2</v>
      </c>
      <c r="J24" s="13">
        <v>2</v>
      </c>
    </row>
    <row r="25" spans="1:10" x14ac:dyDescent="0.35">
      <c r="A25" t="s">
        <v>15</v>
      </c>
      <c r="B25" t="s">
        <v>14</v>
      </c>
      <c r="C25" s="12">
        <f t="shared" si="1"/>
        <v>5</v>
      </c>
      <c r="I25" s="13">
        <v>5</v>
      </c>
      <c r="J25" s="13">
        <v>5</v>
      </c>
    </row>
    <row r="26" spans="1:10" x14ac:dyDescent="0.35">
      <c r="A26" t="s">
        <v>16</v>
      </c>
      <c r="B26" t="s">
        <v>8</v>
      </c>
      <c r="C26" s="8">
        <f t="shared" si="1"/>
        <v>0.05</v>
      </c>
      <c r="I26" s="9">
        <v>0.05</v>
      </c>
      <c r="J26" s="9">
        <v>0.05</v>
      </c>
    </row>
    <row r="27" spans="1:10" x14ac:dyDescent="0.35">
      <c r="A27" t="s">
        <v>17</v>
      </c>
      <c r="B27" t="s">
        <v>18</v>
      </c>
      <c r="C27" s="14">
        <f t="shared" si="1"/>
        <v>12</v>
      </c>
      <c r="I27" s="15">
        <v>12</v>
      </c>
      <c r="J27" s="15">
        <v>12</v>
      </c>
    </row>
    <row r="28" spans="1:10" x14ac:dyDescent="0.35">
      <c r="A28" t="s">
        <v>19</v>
      </c>
      <c r="B28" t="s">
        <v>18</v>
      </c>
      <c r="C28" s="14">
        <f t="shared" si="1"/>
        <v>6</v>
      </c>
      <c r="I28" s="15">
        <v>6</v>
      </c>
      <c r="J28" s="15">
        <v>6</v>
      </c>
    </row>
    <row r="29" spans="1:10" x14ac:dyDescent="0.35">
      <c r="A29" t="s">
        <v>20</v>
      </c>
      <c r="B29" t="s">
        <v>8</v>
      </c>
      <c r="C29" s="8">
        <f t="shared" si="1"/>
        <v>0.2</v>
      </c>
      <c r="I29" s="9">
        <v>0.2</v>
      </c>
      <c r="J29" s="9">
        <v>0.2</v>
      </c>
    </row>
    <row r="31" spans="1:10" x14ac:dyDescent="0.35">
      <c r="A31" s="5" t="s">
        <v>21</v>
      </c>
      <c r="B31" s="5"/>
      <c r="C31" s="5"/>
      <c r="I31" s="5"/>
      <c r="J31" s="5"/>
    </row>
    <row r="32" spans="1:10" x14ac:dyDescent="0.35">
      <c r="A32" t="s">
        <v>22</v>
      </c>
      <c r="B32" t="s">
        <v>8</v>
      </c>
      <c r="C32" s="6">
        <f>INDEX(I32:J32,1,$C$1)</f>
        <v>3.0000000000000001E-3</v>
      </c>
      <c r="I32" s="7">
        <v>3.0000000000000001E-3</v>
      </c>
      <c r="J32" s="7">
        <v>3.0000000000000001E-3</v>
      </c>
    </row>
    <row r="33" spans="1:10" x14ac:dyDescent="0.35">
      <c r="A33" t="s">
        <v>23</v>
      </c>
      <c r="B33" t="s">
        <v>8</v>
      </c>
      <c r="C33" s="6">
        <f>INDEX(I33:J33,1,$C$1)</f>
        <v>0.01</v>
      </c>
      <c r="I33" s="7">
        <v>0.01</v>
      </c>
      <c r="J33" s="7">
        <v>0.01</v>
      </c>
    </row>
    <row r="34" spans="1:10" x14ac:dyDescent="0.35">
      <c r="A34" t="s">
        <v>24</v>
      </c>
      <c r="B34" t="s">
        <v>8</v>
      </c>
      <c r="C34" s="8">
        <f>INDEX(I34:J34,1,$C$1)</f>
        <v>0.5</v>
      </c>
      <c r="I34" s="9">
        <v>0.5</v>
      </c>
      <c r="J34" s="9">
        <v>0.5</v>
      </c>
    </row>
    <row r="35" spans="1:10" x14ac:dyDescent="0.35">
      <c r="A35" t="s">
        <v>25</v>
      </c>
      <c r="B35" t="s">
        <v>8</v>
      </c>
      <c r="C35" s="8">
        <f>INDEX(I35:J35,1,$C$1)</f>
        <v>0.2</v>
      </c>
      <c r="I35" s="9">
        <v>0.2</v>
      </c>
      <c r="J35" s="9">
        <v>0.2</v>
      </c>
    </row>
    <row r="37" spans="1:10" x14ac:dyDescent="0.35">
      <c r="A37" s="5" t="s">
        <v>26</v>
      </c>
      <c r="B37" s="5"/>
      <c r="C37" s="5"/>
      <c r="I37" s="5"/>
      <c r="J37" s="5"/>
    </row>
    <row r="38" spans="1:10" x14ac:dyDescent="0.35">
      <c r="A38" t="s">
        <v>27</v>
      </c>
      <c r="B38" t="s">
        <v>28</v>
      </c>
      <c r="C38" s="16">
        <f t="shared" ref="C38:C45" si="2">INDEX(I38:J38,1,$C$1)</f>
        <v>0.8</v>
      </c>
      <c r="I38" s="17">
        <v>0.8</v>
      </c>
      <c r="J38" s="17">
        <v>0.8</v>
      </c>
    </row>
    <row r="39" spans="1:10" x14ac:dyDescent="0.35">
      <c r="A39" t="s">
        <v>29</v>
      </c>
      <c r="B39" t="s">
        <v>28</v>
      </c>
      <c r="C39" s="16">
        <f t="shared" si="2"/>
        <v>0.4</v>
      </c>
      <c r="I39" s="17">
        <v>0.4</v>
      </c>
      <c r="J39" s="17">
        <v>0.4</v>
      </c>
    </row>
    <row r="40" spans="1:10" x14ac:dyDescent="0.35">
      <c r="A40" t="s">
        <v>30</v>
      </c>
      <c r="B40" t="s">
        <v>28</v>
      </c>
      <c r="C40" s="16">
        <f t="shared" si="2"/>
        <v>0.5</v>
      </c>
      <c r="I40" s="17">
        <v>0.5</v>
      </c>
      <c r="J40" s="17">
        <v>0.5</v>
      </c>
    </row>
    <row r="41" spans="1:10" x14ac:dyDescent="0.35">
      <c r="A41" t="s">
        <v>31</v>
      </c>
      <c r="B41" t="s">
        <v>28</v>
      </c>
      <c r="C41" s="16">
        <f t="shared" si="2"/>
        <v>500</v>
      </c>
      <c r="I41" s="17">
        <v>500</v>
      </c>
      <c r="J41" s="17">
        <v>500</v>
      </c>
    </row>
    <row r="42" spans="1:10" x14ac:dyDescent="0.35">
      <c r="A42" t="s">
        <v>32</v>
      </c>
      <c r="B42" t="s">
        <v>8</v>
      </c>
      <c r="C42" s="8">
        <f t="shared" si="2"/>
        <v>0.2</v>
      </c>
      <c r="I42" s="9">
        <v>0.2</v>
      </c>
      <c r="J42" s="9">
        <v>0.2</v>
      </c>
    </row>
    <row r="43" spans="1:10" x14ac:dyDescent="0.35">
      <c r="A43" t="s">
        <v>33</v>
      </c>
      <c r="B43" t="s">
        <v>8</v>
      </c>
      <c r="C43" s="6">
        <f t="shared" si="2"/>
        <v>5.0000000000000001E-3</v>
      </c>
      <c r="I43" s="7">
        <v>5.0000000000000001E-3</v>
      </c>
      <c r="J43" s="7">
        <v>5.0000000000000001E-3</v>
      </c>
    </row>
    <row r="44" spans="1:10" x14ac:dyDescent="0.35">
      <c r="A44" t="s">
        <v>34</v>
      </c>
      <c r="B44" t="s">
        <v>18</v>
      </c>
      <c r="C44" s="14">
        <f t="shared" si="2"/>
        <v>1</v>
      </c>
      <c r="I44" s="15">
        <v>1</v>
      </c>
      <c r="J44" s="15">
        <v>1</v>
      </c>
    </row>
    <row r="45" spans="1:10" x14ac:dyDescent="0.35">
      <c r="A45" t="s">
        <v>35</v>
      </c>
      <c r="B45" t="s">
        <v>18</v>
      </c>
      <c r="C45" s="14">
        <f t="shared" si="2"/>
        <v>1</v>
      </c>
      <c r="I45" s="15">
        <v>1</v>
      </c>
      <c r="J45" s="15">
        <v>1</v>
      </c>
    </row>
    <row r="47" spans="1:10" x14ac:dyDescent="0.35">
      <c r="A47" s="5" t="s">
        <v>36</v>
      </c>
      <c r="B47" s="5"/>
      <c r="C47" s="5"/>
      <c r="I47" s="5"/>
      <c r="J47" s="5"/>
    </row>
    <row r="48" spans="1:10" x14ac:dyDescent="0.35">
      <c r="A48" t="s">
        <v>37</v>
      </c>
      <c r="B48" t="s">
        <v>38</v>
      </c>
      <c r="C48" s="14">
        <f>INDEX(I48:J48,1,$C$1)</f>
        <v>400</v>
      </c>
      <c r="I48" s="15">
        <v>400</v>
      </c>
      <c r="J48" s="15">
        <v>400</v>
      </c>
    </row>
    <row r="49" spans="1:10" x14ac:dyDescent="0.35">
      <c r="A49" t="s">
        <v>39</v>
      </c>
      <c r="B49" t="s">
        <v>28</v>
      </c>
      <c r="C49" s="16">
        <f>INDEX(I49:J49,1,$C$1)</f>
        <v>18000</v>
      </c>
      <c r="I49" s="17">
        <v>18000</v>
      </c>
      <c r="J49" s="17">
        <v>18000</v>
      </c>
    </row>
    <row r="50" spans="1:10" x14ac:dyDescent="0.35">
      <c r="A50" t="s">
        <v>40</v>
      </c>
      <c r="B50" t="s">
        <v>8</v>
      </c>
      <c r="C50" s="8">
        <f>INDEX(I50:J50,1,$C$1)</f>
        <v>0.2</v>
      </c>
      <c r="I50" s="9">
        <v>0.2</v>
      </c>
      <c r="J50" s="9">
        <v>0.2</v>
      </c>
    </row>
    <row r="51" spans="1:10" x14ac:dyDescent="0.35">
      <c r="A51" t="s">
        <v>41</v>
      </c>
      <c r="B51" t="s">
        <v>14</v>
      </c>
      <c r="C51" s="12">
        <f>INDEX(I51:J51,1,$C$1)</f>
        <v>10</v>
      </c>
      <c r="I51" s="13">
        <v>10</v>
      </c>
      <c r="J51" s="13">
        <v>10</v>
      </c>
    </row>
    <row r="52" spans="1:10" x14ac:dyDescent="0.35">
      <c r="A52" t="s">
        <v>42</v>
      </c>
      <c r="B52" t="s">
        <v>8</v>
      </c>
      <c r="C52" s="8">
        <f>INDEX(I52:J52,1,$C$1)</f>
        <v>0.05</v>
      </c>
      <c r="I52" s="9">
        <v>0.05</v>
      </c>
      <c r="J52" s="9">
        <v>0.05</v>
      </c>
    </row>
    <row r="54" spans="1:10" x14ac:dyDescent="0.35">
      <c r="A54" s="5" t="s">
        <v>43</v>
      </c>
      <c r="B54" s="5"/>
      <c r="C54" s="5"/>
      <c r="I54" s="5"/>
      <c r="J54" s="5"/>
    </row>
    <row r="55" spans="1:10" x14ac:dyDescent="0.35">
      <c r="A55" t="s">
        <v>44</v>
      </c>
      <c r="B55" t="s">
        <v>14</v>
      </c>
      <c r="C55" s="12">
        <f t="shared" ref="C55:C62" si="3">INDEX(I55:J55,1,$C$1)</f>
        <v>80</v>
      </c>
      <c r="I55" s="13">
        <v>80</v>
      </c>
      <c r="J55" s="13">
        <v>80</v>
      </c>
    </row>
    <row r="56" spans="1:10" x14ac:dyDescent="0.35">
      <c r="A56" t="s">
        <v>45</v>
      </c>
      <c r="B56" t="s">
        <v>18</v>
      </c>
      <c r="C56" s="14">
        <f t="shared" si="3"/>
        <v>60</v>
      </c>
      <c r="I56" s="15">
        <v>60</v>
      </c>
      <c r="J56" s="15">
        <v>60</v>
      </c>
    </row>
    <row r="57" spans="1:10" x14ac:dyDescent="0.35">
      <c r="A57" t="s">
        <v>46</v>
      </c>
      <c r="B57" t="s">
        <v>47</v>
      </c>
      <c r="C57" s="14">
        <f t="shared" si="3"/>
        <v>6</v>
      </c>
      <c r="I57" s="15">
        <v>6</v>
      </c>
      <c r="J57" s="15">
        <v>6</v>
      </c>
    </row>
    <row r="58" spans="1:10" x14ac:dyDescent="0.35">
      <c r="A58" t="s">
        <v>48</v>
      </c>
      <c r="B58" t="s">
        <v>18</v>
      </c>
      <c r="C58" s="14">
        <f t="shared" si="3"/>
        <v>48</v>
      </c>
      <c r="I58" s="15">
        <v>48</v>
      </c>
      <c r="J58" s="15">
        <v>48</v>
      </c>
    </row>
    <row r="59" spans="1:10" x14ac:dyDescent="0.35">
      <c r="A59" t="s">
        <v>49</v>
      </c>
      <c r="B59" t="s">
        <v>47</v>
      </c>
      <c r="C59" s="14">
        <f t="shared" si="3"/>
        <v>6</v>
      </c>
      <c r="I59" s="15">
        <v>6</v>
      </c>
      <c r="J59" s="15">
        <v>6</v>
      </c>
    </row>
    <row r="60" spans="1:10" x14ac:dyDescent="0.35">
      <c r="A60" t="s">
        <v>50</v>
      </c>
      <c r="B60" t="s">
        <v>18</v>
      </c>
      <c r="C60" s="14">
        <f t="shared" si="3"/>
        <v>36</v>
      </c>
      <c r="I60" s="15">
        <v>36</v>
      </c>
      <c r="J60" s="15">
        <v>36</v>
      </c>
    </row>
    <row r="61" spans="1:10" x14ac:dyDescent="0.35">
      <c r="A61" t="s">
        <v>51</v>
      </c>
      <c r="B61" t="s">
        <v>47</v>
      </c>
      <c r="C61" s="14">
        <f t="shared" si="3"/>
        <v>3</v>
      </c>
      <c r="I61" s="15">
        <v>3</v>
      </c>
      <c r="J61" s="15">
        <v>3</v>
      </c>
    </row>
    <row r="62" spans="1:10" x14ac:dyDescent="0.35">
      <c r="A62" t="s">
        <v>52</v>
      </c>
      <c r="B62" t="s">
        <v>18</v>
      </c>
      <c r="C62" s="14">
        <f t="shared" si="3"/>
        <v>12</v>
      </c>
      <c r="I62" s="15">
        <v>12</v>
      </c>
      <c r="J62" s="15">
        <v>12</v>
      </c>
    </row>
    <row r="64" spans="1:10" x14ac:dyDescent="0.35">
      <c r="A64" s="5" t="s">
        <v>53</v>
      </c>
      <c r="B64" s="5"/>
      <c r="C64" s="5"/>
      <c r="I64" s="5"/>
      <c r="J64" s="5"/>
    </row>
    <row r="65" spans="1:10" x14ac:dyDescent="0.35">
      <c r="A65" t="s">
        <v>54</v>
      </c>
      <c r="B65" t="s">
        <v>14</v>
      </c>
      <c r="C65" s="12">
        <f>INDEX(I65:J65,1,$C$1)</f>
        <v>3000</v>
      </c>
      <c r="I65" s="13">
        <v>3000</v>
      </c>
      <c r="J65" s="13">
        <v>3000</v>
      </c>
    </row>
    <row r="66" spans="1:10" x14ac:dyDescent="0.35">
      <c r="A66" t="s">
        <v>55</v>
      </c>
      <c r="B66" t="s">
        <v>8</v>
      </c>
      <c r="C66" s="8">
        <f>INDEX(I66:J66,1,$C$1)</f>
        <v>0.12</v>
      </c>
      <c r="I66" s="9">
        <v>0.12</v>
      </c>
      <c r="J66" s="9">
        <v>0.12</v>
      </c>
    </row>
    <row r="68" spans="1:10" x14ac:dyDescent="0.35">
      <c r="A68" s="5" t="s">
        <v>56</v>
      </c>
      <c r="B68" s="5"/>
      <c r="C68" s="5"/>
      <c r="I68" s="5"/>
      <c r="J68" s="5"/>
    </row>
    <row r="69" spans="1:10" x14ac:dyDescent="0.35">
      <c r="A69" t="s">
        <v>57</v>
      </c>
      <c r="B69" t="s">
        <v>14</v>
      </c>
      <c r="C69" s="12">
        <f t="shared" ref="C69:C81" si="4">INDEX(I69:J69,1,$C$1)</f>
        <v>100</v>
      </c>
      <c r="I69" s="13">
        <v>100</v>
      </c>
      <c r="J69" s="13">
        <v>100</v>
      </c>
    </row>
    <row r="70" spans="1:10" x14ac:dyDescent="0.35">
      <c r="A70" t="s">
        <v>58</v>
      </c>
      <c r="B70" t="s">
        <v>14</v>
      </c>
      <c r="C70" s="12">
        <f t="shared" si="4"/>
        <v>50</v>
      </c>
      <c r="I70" s="13">
        <v>50</v>
      </c>
      <c r="J70" s="13">
        <v>50</v>
      </c>
    </row>
    <row r="71" spans="1:10" x14ac:dyDescent="0.35">
      <c r="A71" t="s">
        <v>59</v>
      </c>
      <c r="B71" t="s">
        <v>60</v>
      </c>
      <c r="C71" s="14">
        <f t="shared" si="4"/>
        <v>3</v>
      </c>
      <c r="I71" s="15">
        <v>3</v>
      </c>
      <c r="J71" s="15">
        <v>5</v>
      </c>
    </row>
    <row r="72" spans="1:10" x14ac:dyDescent="0.35">
      <c r="A72" t="s">
        <v>61</v>
      </c>
      <c r="B72" t="s">
        <v>14</v>
      </c>
      <c r="C72" s="12">
        <f t="shared" si="4"/>
        <v>60</v>
      </c>
      <c r="I72" s="13">
        <v>60</v>
      </c>
      <c r="J72" s="13">
        <v>60</v>
      </c>
    </row>
    <row r="73" spans="1:10" x14ac:dyDescent="0.35">
      <c r="A73" t="s">
        <v>62</v>
      </c>
      <c r="B73" t="s">
        <v>60</v>
      </c>
      <c r="C73" s="14">
        <f t="shared" si="4"/>
        <v>3</v>
      </c>
      <c r="I73" s="15">
        <v>3</v>
      </c>
      <c r="J73" s="15">
        <v>3</v>
      </c>
    </row>
    <row r="74" spans="1:10" x14ac:dyDescent="0.35">
      <c r="A74" t="s">
        <v>63</v>
      </c>
      <c r="B74" t="s">
        <v>14</v>
      </c>
      <c r="C74" s="12">
        <f t="shared" si="4"/>
        <v>70</v>
      </c>
      <c r="I74" s="13">
        <v>70</v>
      </c>
      <c r="J74" s="13">
        <v>70</v>
      </c>
    </row>
    <row r="75" spans="1:10" x14ac:dyDescent="0.35">
      <c r="A75" t="s">
        <v>64</v>
      </c>
      <c r="B75" t="s">
        <v>14</v>
      </c>
      <c r="C75" s="12">
        <f t="shared" si="4"/>
        <v>30</v>
      </c>
      <c r="I75" s="13">
        <v>30</v>
      </c>
      <c r="J75" s="13">
        <v>30</v>
      </c>
    </row>
    <row r="76" spans="1:10" x14ac:dyDescent="0.35">
      <c r="A76" t="s">
        <v>65</v>
      </c>
      <c r="B76" t="s">
        <v>60</v>
      </c>
      <c r="C76" s="14">
        <f t="shared" si="4"/>
        <v>2</v>
      </c>
      <c r="I76" s="15">
        <v>2</v>
      </c>
      <c r="J76" s="15">
        <v>2</v>
      </c>
    </row>
    <row r="77" spans="1:10" x14ac:dyDescent="0.35">
      <c r="A77" t="s">
        <v>66</v>
      </c>
      <c r="B77" t="s">
        <v>14</v>
      </c>
      <c r="C77" s="12">
        <f t="shared" si="4"/>
        <v>40</v>
      </c>
      <c r="I77" s="13">
        <v>40</v>
      </c>
      <c r="J77" s="13">
        <v>40</v>
      </c>
    </row>
    <row r="78" spans="1:10" x14ac:dyDescent="0.35">
      <c r="A78" t="s">
        <v>67</v>
      </c>
      <c r="B78" t="s">
        <v>14</v>
      </c>
      <c r="C78" s="12">
        <f t="shared" si="4"/>
        <v>15</v>
      </c>
      <c r="I78" s="13">
        <v>15</v>
      </c>
      <c r="J78" s="13">
        <v>15</v>
      </c>
    </row>
    <row r="79" spans="1:10" x14ac:dyDescent="0.35">
      <c r="A79" t="s">
        <v>68</v>
      </c>
      <c r="B79" t="s">
        <v>14</v>
      </c>
      <c r="C79" s="12">
        <f t="shared" si="4"/>
        <v>15</v>
      </c>
      <c r="I79" s="13">
        <v>15</v>
      </c>
      <c r="J79" s="13">
        <v>15</v>
      </c>
    </row>
    <row r="80" spans="1:10" x14ac:dyDescent="0.35">
      <c r="A80" t="s">
        <v>69</v>
      </c>
      <c r="B80" t="s">
        <v>8</v>
      </c>
      <c r="C80" s="8">
        <f t="shared" si="4"/>
        <v>0.13</v>
      </c>
      <c r="I80" s="9">
        <v>0.13</v>
      </c>
      <c r="J80" s="9">
        <v>0.13</v>
      </c>
    </row>
    <row r="81" spans="1:10" x14ac:dyDescent="0.35">
      <c r="A81" t="s">
        <v>70</v>
      </c>
      <c r="B81" t="s">
        <v>8</v>
      </c>
      <c r="C81" s="6">
        <f t="shared" si="4"/>
        <v>0.30199999999999999</v>
      </c>
      <c r="I81" s="7">
        <v>0.30199999999999999</v>
      </c>
      <c r="J81" s="7">
        <v>0.30199999999999999</v>
      </c>
    </row>
    <row r="83" spans="1:10" x14ac:dyDescent="0.35">
      <c r="A83" s="5" t="s">
        <v>71</v>
      </c>
      <c r="B83" s="5"/>
      <c r="C83" s="5"/>
      <c r="I83" s="5"/>
      <c r="J83" s="5"/>
    </row>
    <row r="84" spans="1:10" x14ac:dyDescent="0.35">
      <c r="A84" t="s">
        <v>72</v>
      </c>
      <c r="B84" t="s">
        <v>8</v>
      </c>
      <c r="C84" s="8">
        <f>INDEX(I84:J84,1,$C$1)</f>
        <v>0.2</v>
      </c>
      <c r="I84" s="9">
        <v>0.2</v>
      </c>
      <c r="J84" s="9">
        <v>0.2</v>
      </c>
    </row>
    <row r="86" spans="1:10" x14ac:dyDescent="0.35">
      <c r="A86" s="5" t="s">
        <v>73</v>
      </c>
      <c r="B86" s="5"/>
      <c r="C86" s="5"/>
      <c r="I86" s="5"/>
      <c r="J86" s="5"/>
    </row>
    <row r="87" spans="1:10" x14ac:dyDescent="0.35">
      <c r="A87" t="s">
        <v>74</v>
      </c>
      <c r="B87" t="s">
        <v>14</v>
      </c>
      <c r="C87" s="12">
        <f>INDEX(I87:J87,1,$C$1)</f>
        <v>1500</v>
      </c>
      <c r="I87" s="13">
        <v>1500</v>
      </c>
      <c r="J87" s="13">
        <v>1500</v>
      </c>
    </row>
    <row r="88" spans="1:10" x14ac:dyDescent="0.35">
      <c r="A88" t="s">
        <v>75</v>
      </c>
      <c r="B88" t="s">
        <v>14</v>
      </c>
      <c r="C88" s="12">
        <f>INDEX(I88:J88,1,$C$1)</f>
        <v>-2000</v>
      </c>
      <c r="I88" s="13">
        <v>-2000</v>
      </c>
      <c r="J88" s="13">
        <v>-2000</v>
      </c>
    </row>
    <row r="89" spans="1:10" x14ac:dyDescent="0.35">
      <c r="A89" t="s">
        <v>76</v>
      </c>
      <c r="B89" t="s">
        <v>8</v>
      </c>
      <c r="C89" s="8">
        <f>INDEX(I89:J89,1,$C$1)</f>
        <v>0.1</v>
      </c>
      <c r="I89" s="9">
        <v>0.1</v>
      </c>
      <c r="J89" s="9">
        <v>0.1</v>
      </c>
    </row>
    <row r="91" spans="1:10" x14ac:dyDescent="0.35">
      <c r="A91" s="5" t="s">
        <v>77</v>
      </c>
      <c r="B91" s="5"/>
      <c r="C91" s="5"/>
      <c r="I91" s="5"/>
      <c r="J91" s="5"/>
    </row>
    <row r="92" spans="1:10" x14ac:dyDescent="0.35">
      <c r="A92" t="s">
        <v>78</v>
      </c>
      <c r="B92" t="s">
        <v>14</v>
      </c>
      <c r="C92" s="12">
        <f>INDEX(I92:J92,1,$C$1)</f>
        <v>0</v>
      </c>
      <c r="I92" s="13">
        <v>0</v>
      </c>
      <c r="J92" s="13">
        <v>1000</v>
      </c>
    </row>
    <row r="93" spans="1:10" x14ac:dyDescent="0.35">
      <c r="A93" t="s">
        <v>79</v>
      </c>
      <c r="B93" t="s">
        <v>47</v>
      </c>
      <c r="C93" s="14">
        <f>INDEX(I93:J93,1,$C$1)</f>
        <v>0</v>
      </c>
      <c r="I93" s="15">
        <v>0</v>
      </c>
      <c r="J93" s="15">
        <v>50</v>
      </c>
    </row>
    <row r="94" spans="1:10" x14ac:dyDescent="0.35">
      <c r="A94" t="s">
        <v>80</v>
      </c>
      <c r="B94" t="s">
        <v>18</v>
      </c>
      <c r="C94" s="14">
        <f>INDEX(I94:J94,1,$C$1)</f>
        <v>0</v>
      </c>
      <c r="I94" s="15">
        <v>0</v>
      </c>
      <c r="J94" s="15">
        <v>12</v>
      </c>
    </row>
    <row r="95" spans="1:10" x14ac:dyDescent="0.35">
      <c r="A95" t="s">
        <v>81</v>
      </c>
      <c r="B95" t="s">
        <v>18</v>
      </c>
      <c r="C95" s="14">
        <f>INDEX(I95:J95,1,$C$1)</f>
        <v>60</v>
      </c>
      <c r="I95" s="15">
        <v>60</v>
      </c>
      <c r="J95" s="15">
        <v>60</v>
      </c>
    </row>
    <row r="96" spans="1:10" x14ac:dyDescent="0.35">
      <c r="A96" t="s">
        <v>82</v>
      </c>
      <c r="B96" t="s">
        <v>60</v>
      </c>
      <c r="C96" s="14">
        <f>INDEX(I96:J96,1,$C$1)</f>
        <v>0</v>
      </c>
      <c r="I96" s="15">
        <v>0</v>
      </c>
      <c r="J96" s="15">
        <v>2</v>
      </c>
    </row>
    <row r="98" spans="1:10" x14ac:dyDescent="0.35">
      <c r="A98" s="5" t="s">
        <v>83</v>
      </c>
      <c r="B98" s="5"/>
      <c r="C98" s="5"/>
      <c r="I98" s="5"/>
      <c r="J98" s="5"/>
    </row>
    <row r="99" spans="1:10" x14ac:dyDescent="0.35">
      <c r="A99" t="s">
        <v>84</v>
      </c>
      <c r="B99" t="s">
        <v>14</v>
      </c>
      <c r="C99" s="12">
        <f>INDEX(I99:J99,1,$C$1)</f>
        <v>450</v>
      </c>
      <c r="I99" s="13">
        <v>450</v>
      </c>
      <c r="J99" s="13">
        <v>1050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161"/>
  <sheetViews>
    <sheetView workbookViewId="0">
      <pane xSplit="3" ySplit="1" topLeftCell="D128" activePane="bottomRight" state="frozen"/>
      <selection pane="topRight"/>
      <selection pane="bottomLeft"/>
      <selection pane="bottomRight" activeCell="N5" sqref="N5"/>
    </sheetView>
  </sheetViews>
  <sheetFormatPr defaultRowHeight="14.5" x14ac:dyDescent="0.35"/>
  <cols>
    <col min="2" max="2" width="58" customWidth="1"/>
    <col min="3" max="3" width="10" customWidth="1"/>
    <col min="4" max="51" width="11" customWidth="1"/>
  </cols>
  <sheetData>
    <row r="1" spans="2:51" ht="30" customHeight="1" x14ac:dyDescent="0.35">
      <c r="B1" s="18" t="s">
        <v>85</v>
      </c>
      <c r="D1" s="19">
        <v>44197</v>
      </c>
      <c r="E1" s="19">
        <f t="shared" ref="E1:AY1" si="0">EDATE(D1,1)</f>
        <v>44228</v>
      </c>
      <c r="F1" s="19">
        <f t="shared" si="0"/>
        <v>44256</v>
      </c>
      <c r="G1" s="19">
        <f t="shared" si="0"/>
        <v>44287</v>
      </c>
      <c r="H1" s="19">
        <f t="shared" si="0"/>
        <v>44317</v>
      </c>
      <c r="I1" s="19">
        <f t="shared" si="0"/>
        <v>44348</v>
      </c>
      <c r="J1" s="19">
        <f t="shared" si="0"/>
        <v>44378</v>
      </c>
      <c r="K1" s="19">
        <f t="shared" si="0"/>
        <v>44409</v>
      </c>
      <c r="L1" s="19">
        <f t="shared" si="0"/>
        <v>44440</v>
      </c>
      <c r="M1" s="19">
        <f t="shared" si="0"/>
        <v>44470</v>
      </c>
      <c r="N1" s="19">
        <f t="shared" si="0"/>
        <v>44501</v>
      </c>
      <c r="O1" s="19">
        <f t="shared" si="0"/>
        <v>44531</v>
      </c>
      <c r="P1" s="19">
        <f t="shared" si="0"/>
        <v>44562</v>
      </c>
      <c r="Q1" s="19">
        <f t="shared" si="0"/>
        <v>44593</v>
      </c>
      <c r="R1" s="19">
        <f t="shared" si="0"/>
        <v>44621</v>
      </c>
      <c r="S1" s="19">
        <f t="shared" si="0"/>
        <v>44652</v>
      </c>
      <c r="T1" s="19">
        <f t="shared" si="0"/>
        <v>44682</v>
      </c>
      <c r="U1" s="19">
        <f t="shared" si="0"/>
        <v>44713</v>
      </c>
      <c r="V1" s="19">
        <f t="shared" si="0"/>
        <v>44743</v>
      </c>
      <c r="W1" s="19">
        <f t="shared" si="0"/>
        <v>44774</v>
      </c>
      <c r="X1" s="19">
        <f t="shared" si="0"/>
        <v>44805</v>
      </c>
      <c r="Y1" s="19">
        <f t="shared" si="0"/>
        <v>44835</v>
      </c>
      <c r="Z1" s="19">
        <f t="shared" si="0"/>
        <v>44866</v>
      </c>
      <c r="AA1" s="19">
        <f t="shared" si="0"/>
        <v>44896</v>
      </c>
      <c r="AB1" s="19">
        <f t="shared" si="0"/>
        <v>44927</v>
      </c>
      <c r="AC1" s="19">
        <f t="shared" si="0"/>
        <v>44958</v>
      </c>
      <c r="AD1" s="19">
        <f t="shared" si="0"/>
        <v>44986</v>
      </c>
      <c r="AE1" s="19">
        <f t="shared" si="0"/>
        <v>45017</v>
      </c>
      <c r="AF1" s="19">
        <f t="shared" si="0"/>
        <v>45047</v>
      </c>
      <c r="AG1" s="19">
        <f t="shared" si="0"/>
        <v>45078</v>
      </c>
      <c r="AH1" s="19">
        <f t="shared" si="0"/>
        <v>45108</v>
      </c>
      <c r="AI1" s="19">
        <f t="shared" si="0"/>
        <v>45139</v>
      </c>
      <c r="AJ1" s="19">
        <f t="shared" si="0"/>
        <v>45170</v>
      </c>
      <c r="AK1" s="19">
        <f t="shared" si="0"/>
        <v>45200</v>
      </c>
      <c r="AL1" s="19">
        <f t="shared" si="0"/>
        <v>45231</v>
      </c>
      <c r="AM1" s="19">
        <f t="shared" si="0"/>
        <v>45261</v>
      </c>
      <c r="AN1" s="19">
        <f t="shared" si="0"/>
        <v>45292</v>
      </c>
      <c r="AO1" s="19">
        <f t="shared" si="0"/>
        <v>45323</v>
      </c>
      <c r="AP1" s="19">
        <f t="shared" si="0"/>
        <v>45352</v>
      </c>
      <c r="AQ1" s="19">
        <f t="shared" si="0"/>
        <v>45383</v>
      </c>
      <c r="AR1" s="19">
        <f t="shared" si="0"/>
        <v>45413</v>
      </c>
      <c r="AS1" s="19">
        <f t="shared" si="0"/>
        <v>45444</v>
      </c>
      <c r="AT1" s="19">
        <f t="shared" si="0"/>
        <v>45474</v>
      </c>
      <c r="AU1" s="19">
        <f t="shared" si="0"/>
        <v>45505</v>
      </c>
      <c r="AV1" s="19">
        <f t="shared" si="0"/>
        <v>45536</v>
      </c>
      <c r="AW1" s="19">
        <f t="shared" si="0"/>
        <v>45566</v>
      </c>
      <c r="AX1" s="19">
        <f t="shared" si="0"/>
        <v>45597</v>
      </c>
      <c r="AY1" s="19">
        <f t="shared" si="0"/>
        <v>45627</v>
      </c>
    </row>
    <row r="3" spans="2:51" x14ac:dyDescent="0.35">
      <c r="B3" s="20" t="s">
        <v>86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</row>
    <row r="4" spans="2:51" x14ac:dyDescent="0.35">
      <c r="B4" t="s">
        <v>87</v>
      </c>
      <c r="C4" t="s">
        <v>60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>
        <f>O6*(1+Предпосылки!$C$5)</f>
        <v>131.94999999999999</v>
      </c>
      <c r="Q4" s="22">
        <f>P4*(1+Предпосылки!$C$5)</f>
        <v>133.92924999999997</v>
      </c>
      <c r="R4" s="22">
        <f>Q4*(1+Предпосылки!$C$5)</f>
        <v>135.93818874999997</v>
      </c>
      <c r="S4" s="22">
        <f>R4*(1+Предпосылки!$C$5)</f>
        <v>137.97726158124996</v>
      </c>
      <c r="T4" s="22">
        <f>S4*(1+Предпосылки!$C$5)</f>
        <v>140.04692050496871</v>
      </c>
      <c r="U4" s="22">
        <f>T4*(1+Предпосылки!$C$5)</f>
        <v>142.14762431254323</v>
      </c>
      <c r="V4" s="22">
        <f>U4*(1+Предпосылки!$C$5)</f>
        <v>144.27983867723137</v>
      </c>
      <c r="W4" s="22">
        <f>V4*(1+Предпосылки!$C$5)</f>
        <v>146.44403625738983</v>
      </c>
      <c r="X4" s="22">
        <f>W4*(1+Предпосылки!$C$5)</f>
        <v>148.64069680125067</v>
      </c>
      <c r="Y4" s="22">
        <f>X4*(1+Предпосылки!$C$5)</f>
        <v>150.8703072532694</v>
      </c>
      <c r="Z4" s="22">
        <f>Y4*(1+Предпосылки!$C$5)</f>
        <v>153.13336186206843</v>
      </c>
      <c r="AA4" s="22">
        <f>Z4*(1+Предпосылки!$C$5)</f>
        <v>155.43036228999944</v>
      </c>
      <c r="AB4" s="22">
        <f>AA4*(1+Предпосылки!$C$5)</f>
        <v>157.76181772434941</v>
      </c>
      <c r="AC4" s="22">
        <f>AB4*(1+Предпосылки!$C$5)</f>
        <v>160.12824499021463</v>
      </c>
      <c r="AD4" s="22">
        <f>AC4*(1+Предпосылки!$C$5)</f>
        <v>162.53016866506783</v>
      </c>
      <c r="AE4" s="22">
        <f>AD4*(1+Предпосылки!$C$5)</f>
        <v>164.96812119504384</v>
      </c>
      <c r="AF4" s="22">
        <f>AE4*(1+Предпосылки!$C$5)</f>
        <v>167.44264301296948</v>
      </c>
      <c r="AG4" s="22">
        <f>AF4*(1+Предпосылки!$C$5)</f>
        <v>169.954282658164</v>
      </c>
      <c r="AH4" s="22">
        <f>AG4*(1+Предпосылки!$C$5)</f>
        <v>172.50359689803645</v>
      </c>
      <c r="AI4" s="22">
        <f>AH4*(1+Предпосылки!$C$5)</f>
        <v>175.09115085150697</v>
      </c>
      <c r="AJ4" s="22">
        <f>AI4*(1+Предпосылки!$C$5)</f>
        <v>177.71751811427956</v>
      </c>
      <c r="AK4" s="22">
        <f>AJ4*(1+Предпосылки!$C$5)</f>
        <v>180.38328088599374</v>
      </c>
      <c r="AL4" s="22">
        <f>AK4*(1+Предпосылки!$C$5)</f>
        <v>183.08903009928363</v>
      </c>
      <c r="AM4" s="22">
        <f>AL4*(1+Предпосылки!$C$5)</f>
        <v>185.83536555077288</v>
      </c>
      <c r="AN4" s="22">
        <f>AM4*(1+Предпосылки!$C$5)</f>
        <v>188.62289603403445</v>
      </c>
      <c r="AO4" s="22">
        <f>AN4*(1+Предпосылки!$C$5)</f>
        <v>191.45223947454494</v>
      </c>
      <c r="AP4" s="22">
        <f>AO4*(1+Предпосылки!$C$5)</f>
        <v>194.3240230666631</v>
      </c>
      <c r="AQ4" s="22">
        <f>AP4*(1+Предпосылки!$C$5)</f>
        <v>197.23888341266303</v>
      </c>
      <c r="AR4" s="22">
        <f>AQ4*(1+Предпосылки!$C$5)</f>
        <v>200.19746666385296</v>
      </c>
      <c r="AS4" s="22">
        <f>AR4*(1+Предпосылки!$C$5)</f>
        <v>203.20042866381073</v>
      </c>
      <c r="AT4" s="22">
        <f>AS4*(1+Предпосылки!$C$5)</f>
        <v>206.24843509376788</v>
      </c>
      <c r="AU4" s="22">
        <f>AT4*(1+Предпосылки!$C$5)</f>
        <v>209.34216162017438</v>
      </c>
      <c r="AV4" s="22">
        <f>AU4*(1+Предпосылки!$C$5)</f>
        <v>212.48229404447699</v>
      </c>
      <c r="AW4" s="22">
        <f>AV4*(1+Предпосылки!$C$5)</f>
        <v>215.66952845514413</v>
      </c>
      <c r="AX4" s="22">
        <f>AW4*(1+Предпосылки!$C$5)</f>
        <v>218.90457138197127</v>
      </c>
      <c r="AY4" s="22">
        <f>AX4*(1+Предпосылки!$C$5)</f>
        <v>222.18813995270082</v>
      </c>
    </row>
    <row r="5" spans="2:51" x14ac:dyDescent="0.35">
      <c r="B5" t="s">
        <v>88</v>
      </c>
      <c r="D5" s="23">
        <f>INDEX(Предпосылки!$C$10:$C$21,MONTH(D$1))</f>
        <v>1</v>
      </c>
      <c r="E5" s="23">
        <f>INDEX(Предпосылки!$C$10:$C$21,MONTH(E$1))</f>
        <v>1</v>
      </c>
      <c r="F5" s="23">
        <f>INDEX(Предпосылки!$C$10:$C$21,MONTH(F$1))</f>
        <v>1</v>
      </c>
      <c r="G5" s="23">
        <f>INDEX(Предпосылки!$C$10:$C$21,MONTH(G$1))</f>
        <v>1</v>
      </c>
      <c r="H5" s="23">
        <f>INDEX(Предпосылки!$C$10:$C$21,MONTH(H$1))</f>
        <v>1</v>
      </c>
      <c r="I5" s="23">
        <f>INDEX(Предпосылки!$C$10:$C$21,MONTH(I$1))</f>
        <v>0.5</v>
      </c>
      <c r="J5" s="23">
        <f>INDEX(Предпосылки!$C$10:$C$21,MONTH(J$1))</f>
        <v>0.5</v>
      </c>
      <c r="K5" s="23">
        <f>INDEX(Предпосылки!$C$10:$C$21,MONTH(K$1))</f>
        <v>0.5</v>
      </c>
      <c r="L5" s="23">
        <f>INDEX(Предпосылки!$C$10:$C$21,MONTH(L$1))</f>
        <v>1</v>
      </c>
      <c r="M5" s="23">
        <f>INDEX(Предпосылки!$C$10:$C$21,MONTH(M$1))</f>
        <v>1</v>
      </c>
      <c r="N5" s="23">
        <f>INDEX(Предпосылки!$C$10:$C$21,MONTH(N$1))</f>
        <v>1</v>
      </c>
      <c r="O5" s="23">
        <f>INDEX(Предпосылки!$C$10:$C$21,MONTH(O$1))</f>
        <v>1</v>
      </c>
      <c r="P5" s="23">
        <f>INDEX(Предпосылки!$C$10:$C$21,MONTH(P$1))</f>
        <v>1</v>
      </c>
      <c r="Q5" s="23">
        <f>INDEX(Предпосылки!$C$10:$C$21,MONTH(Q$1))</f>
        <v>1</v>
      </c>
      <c r="R5" s="23">
        <f>INDEX(Предпосылки!$C$10:$C$21,MONTH(R$1))</f>
        <v>1</v>
      </c>
      <c r="S5" s="23">
        <f>INDEX(Предпосылки!$C$10:$C$21,MONTH(S$1))</f>
        <v>1</v>
      </c>
      <c r="T5" s="23">
        <f>INDEX(Предпосылки!$C$10:$C$21,MONTH(T$1))</f>
        <v>1</v>
      </c>
      <c r="U5" s="23">
        <f>INDEX(Предпосылки!$C$10:$C$21,MONTH(U$1))</f>
        <v>0.5</v>
      </c>
      <c r="V5" s="23">
        <f>INDEX(Предпосылки!$C$10:$C$21,MONTH(V$1))</f>
        <v>0.5</v>
      </c>
      <c r="W5" s="23">
        <f>INDEX(Предпосылки!$C$10:$C$21,MONTH(W$1))</f>
        <v>0.5</v>
      </c>
      <c r="X5" s="23">
        <f>INDEX(Предпосылки!$C$10:$C$21,MONTH(X$1))</f>
        <v>1</v>
      </c>
      <c r="Y5" s="23">
        <f>INDEX(Предпосылки!$C$10:$C$21,MONTH(Y$1))</f>
        <v>1</v>
      </c>
      <c r="Z5" s="23">
        <f>INDEX(Предпосылки!$C$10:$C$21,MONTH(Z$1))</f>
        <v>1</v>
      </c>
      <c r="AA5" s="23">
        <f>INDEX(Предпосылки!$C$10:$C$21,MONTH(AA$1))</f>
        <v>1</v>
      </c>
      <c r="AB5" s="23">
        <f>INDEX(Предпосылки!$C$10:$C$21,MONTH(AB$1))</f>
        <v>1</v>
      </c>
      <c r="AC5" s="23">
        <f>INDEX(Предпосылки!$C$10:$C$21,MONTH(AC$1))</f>
        <v>1</v>
      </c>
      <c r="AD5" s="23">
        <f>INDEX(Предпосылки!$C$10:$C$21,MONTH(AD$1))</f>
        <v>1</v>
      </c>
      <c r="AE5" s="23">
        <f>INDEX(Предпосылки!$C$10:$C$21,MONTH(AE$1))</f>
        <v>1</v>
      </c>
      <c r="AF5" s="23">
        <f>INDEX(Предпосылки!$C$10:$C$21,MONTH(AF$1))</f>
        <v>1</v>
      </c>
      <c r="AG5" s="23">
        <f>INDEX(Предпосылки!$C$10:$C$21,MONTH(AG$1))</f>
        <v>0.5</v>
      </c>
      <c r="AH5" s="23">
        <f>INDEX(Предпосылки!$C$10:$C$21,MONTH(AH$1))</f>
        <v>0.5</v>
      </c>
      <c r="AI5" s="23">
        <f>INDEX(Предпосылки!$C$10:$C$21,MONTH(AI$1))</f>
        <v>0.5</v>
      </c>
      <c r="AJ5" s="23">
        <f>INDEX(Предпосылки!$C$10:$C$21,MONTH(AJ$1))</f>
        <v>1</v>
      </c>
      <c r="AK5" s="23">
        <f>INDEX(Предпосылки!$C$10:$C$21,MONTH(AK$1))</f>
        <v>1</v>
      </c>
      <c r="AL5" s="23">
        <f>INDEX(Предпосылки!$C$10:$C$21,MONTH(AL$1))</f>
        <v>1</v>
      </c>
      <c r="AM5" s="23">
        <f>INDEX(Предпосылки!$C$10:$C$21,MONTH(AM$1))</f>
        <v>1</v>
      </c>
      <c r="AN5" s="23">
        <f>INDEX(Предпосылки!$C$10:$C$21,MONTH(AN$1))</f>
        <v>1</v>
      </c>
      <c r="AO5" s="23">
        <f>INDEX(Предпосылки!$C$10:$C$21,MONTH(AO$1))</f>
        <v>1</v>
      </c>
      <c r="AP5" s="23">
        <f>INDEX(Предпосылки!$C$10:$C$21,MONTH(AP$1))</f>
        <v>1</v>
      </c>
      <c r="AQ5" s="23">
        <f>INDEX(Предпосылки!$C$10:$C$21,MONTH(AQ$1))</f>
        <v>1</v>
      </c>
      <c r="AR5" s="23">
        <f>INDEX(Предпосылки!$C$10:$C$21,MONTH(AR$1))</f>
        <v>1</v>
      </c>
      <c r="AS5" s="23">
        <f>INDEX(Предпосылки!$C$10:$C$21,MONTH(AS$1))</f>
        <v>0.5</v>
      </c>
      <c r="AT5" s="23">
        <f>INDEX(Предпосылки!$C$10:$C$21,MONTH(AT$1))</f>
        <v>0.5</v>
      </c>
      <c r="AU5" s="23">
        <f>INDEX(Предпосылки!$C$10:$C$21,MONTH(AU$1))</f>
        <v>0.5</v>
      </c>
      <c r="AV5" s="23">
        <f>INDEX(Предпосылки!$C$10:$C$21,MONTH(AV$1))</f>
        <v>1</v>
      </c>
      <c r="AW5" s="23">
        <f>INDEX(Предпосылки!$C$10:$C$21,MONTH(AW$1))</f>
        <v>1</v>
      </c>
      <c r="AX5" s="23">
        <f>INDEX(Предпосылки!$C$10:$C$21,MONTH(AX$1))</f>
        <v>1</v>
      </c>
      <c r="AY5" s="23">
        <f>INDEX(Предпосылки!$C$10:$C$21,MONTH(AY$1))</f>
        <v>1</v>
      </c>
    </row>
    <row r="6" spans="2:51" x14ac:dyDescent="0.35">
      <c r="B6" t="s">
        <v>89</v>
      </c>
      <c r="C6" t="s">
        <v>60</v>
      </c>
      <c r="D6" s="22">
        <v>100</v>
      </c>
      <c r="E6" s="22">
        <v>100</v>
      </c>
      <c r="F6" s="22">
        <v>100</v>
      </c>
      <c r="G6" s="22">
        <v>100</v>
      </c>
      <c r="H6" s="22">
        <v>100</v>
      </c>
      <c r="I6" s="22">
        <v>50</v>
      </c>
      <c r="J6" s="22">
        <v>50</v>
      </c>
      <c r="K6" s="22">
        <v>50</v>
      </c>
      <c r="L6" s="22">
        <v>100</v>
      </c>
      <c r="M6" s="22">
        <v>110</v>
      </c>
      <c r="N6" s="22">
        <v>120</v>
      </c>
      <c r="O6" s="22">
        <v>130</v>
      </c>
      <c r="P6" s="22">
        <f t="shared" ref="P6:AY6" si="1">P4*P5</f>
        <v>131.94999999999999</v>
      </c>
      <c r="Q6" s="22">
        <f t="shared" si="1"/>
        <v>133.92924999999997</v>
      </c>
      <c r="R6" s="22">
        <f t="shared" si="1"/>
        <v>135.93818874999997</v>
      </c>
      <c r="S6" s="22">
        <f t="shared" si="1"/>
        <v>137.97726158124996</v>
      </c>
      <c r="T6" s="22">
        <f t="shared" si="1"/>
        <v>140.04692050496871</v>
      </c>
      <c r="U6" s="22">
        <f t="shared" si="1"/>
        <v>71.073812156271615</v>
      </c>
      <c r="V6" s="22">
        <f t="shared" si="1"/>
        <v>72.139919338615684</v>
      </c>
      <c r="W6" s="22">
        <f t="shared" si="1"/>
        <v>73.222018128694913</v>
      </c>
      <c r="X6" s="22">
        <f t="shared" si="1"/>
        <v>148.64069680125067</v>
      </c>
      <c r="Y6" s="22">
        <f t="shared" si="1"/>
        <v>150.8703072532694</v>
      </c>
      <c r="Z6" s="22">
        <f t="shared" si="1"/>
        <v>153.13336186206843</v>
      </c>
      <c r="AA6" s="22">
        <f t="shared" si="1"/>
        <v>155.43036228999944</v>
      </c>
      <c r="AB6" s="22">
        <f t="shared" si="1"/>
        <v>157.76181772434941</v>
      </c>
      <c r="AC6" s="22">
        <f t="shared" si="1"/>
        <v>160.12824499021463</v>
      </c>
      <c r="AD6" s="22">
        <f t="shared" si="1"/>
        <v>162.53016866506783</v>
      </c>
      <c r="AE6" s="22">
        <f t="shared" si="1"/>
        <v>164.96812119504384</v>
      </c>
      <c r="AF6" s="22">
        <f t="shared" si="1"/>
        <v>167.44264301296948</v>
      </c>
      <c r="AG6" s="22">
        <f t="shared" si="1"/>
        <v>84.977141329082002</v>
      </c>
      <c r="AH6" s="22">
        <f t="shared" si="1"/>
        <v>86.251798449018224</v>
      </c>
      <c r="AI6" s="22">
        <f t="shared" si="1"/>
        <v>87.545575425753484</v>
      </c>
      <c r="AJ6" s="22">
        <f t="shared" si="1"/>
        <v>177.71751811427956</v>
      </c>
      <c r="AK6" s="22">
        <f t="shared" si="1"/>
        <v>180.38328088599374</v>
      </c>
      <c r="AL6" s="22">
        <f t="shared" si="1"/>
        <v>183.08903009928363</v>
      </c>
      <c r="AM6" s="22">
        <f t="shared" si="1"/>
        <v>185.83536555077288</v>
      </c>
      <c r="AN6" s="22">
        <f t="shared" si="1"/>
        <v>188.62289603403445</v>
      </c>
      <c r="AO6" s="22">
        <f t="shared" si="1"/>
        <v>191.45223947454494</v>
      </c>
      <c r="AP6" s="22">
        <f t="shared" si="1"/>
        <v>194.3240230666631</v>
      </c>
      <c r="AQ6" s="22">
        <f t="shared" si="1"/>
        <v>197.23888341266303</v>
      </c>
      <c r="AR6" s="22">
        <f t="shared" si="1"/>
        <v>200.19746666385296</v>
      </c>
      <c r="AS6" s="22">
        <f t="shared" si="1"/>
        <v>101.60021433190536</v>
      </c>
      <c r="AT6" s="22">
        <f t="shared" si="1"/>
        <v>103.12421754688394</v>
      </c>
      <c r="AU6" s="22">
        <f t="shared" si="1"/>
        <v>104.67108081008719</v>
      </c>
      <c r="AV6" s="22">
        <f t="shared" si="1"/>
        <v>212.48229404447699</v>
      </c>
      <c r="AW6" s="22">
        <f t="shared" si="1"/>
        <v>215.66952845514413</v>
      </c>
      <c r="AX6" s="22">
        <f t="shared" si="1"/>
        <v>218.90457138197127</v>
      </c>
      <c r="AY6" s="22">
        <f t="shared" si="1"/>
        <v>222.18813995270082</v>
      </c>
    </row>
    <row r="7" spans="2:51" x14ac:dyDescent="0.35">
      <c r="B7" t="s">
        <v>90</v>
      </c>
      <c r="C7" t="s">
        <v>60</v>
      </c>
      <c r="D7" s="22">
        <f>D6*Предпосылки!$C$6</f>
        <v>70</v>
      </c>
      <c r="E7" s="22">
        <f>E6*Предпосылки!$C$6</f>
        <v>70</v>
      </c>
      <c r="F7" s="22">
        <f>F6*Предпосылки!$C$6</f>
        <v>70</v>
      </c>
      <c r="G7" s="22">
        <f>G6*Предпосылки!$C$6</f>
        <v>70</v>
      </c>
      <c r="H7" s="22">
        <f>H6*Предпосылки!$C$6</f>
        <v>70</v>
      </c>
      <c r="I7" s="22">
        <f>I6*Предпосылки!$C$6</f>
        <v>35</v>
      </c>
      <c r="J7" s="22">
        <f>J6*Предпосылки!$C$6</f>
        <v>35</v>
      </c>
      <c r="K7" s="22">
        <f>K6*Предпосылки!$C$6</f>
        <v>35</v>
      </c>
      <c r="L7" s="22">
        <f>L6*Предпосылки!$C$6</f>
        <v>70</v>
      </c>
      <c r="M7" s="22">
        <f>M6*Предпосылки!$C$6</f>
        <v>77</v>
      </c>
      <c r="N7" s="22">
        <f>N6*Предпосылки!$C$6</f>
        <v>84</v>
      </c>
      <c r="O7" s="22">
        <f>O6*Предпосылки!$C$6</f>
        <v>91</v>
      </c>
      <c r="P7" s="22">
        <f>P6*Предпосылки!$C$6</f>
        <v>92.364999999999981</v>
      </c>
      <c r="Q7" s="22">
        <f>Q6*Предпосылки!$C$6</f>
        <v>93.750474999999966</v>
      </c>
      <c r="R7" s="22">
        <f>R6*Предпосылки!$C$6</f>
        <v>95.156732124999976</v>
      </c>
      <c r="S7" s="22">
        <f>S6*Предпосылки!$C$6</f>
        <v>96.584083106874971</v>
      </c>
      <c r="T7" s="22">
        <f>T6*Предпосылки!$C$6</f>
        <v>98.032844353478097</v>
      </c>
      <c r="U7" s="22">
        <f>U6*Предпосылки!$C$6</f>
        <v>49.751668509390129</v>
      </c>
      <c r="V7" s="22">
        <f>V6*Предпосылки!$C$6</f>
        <v>50.497943537030977</v>
      </c>
      <c r="W7" s="22">
        <f>W6*Предпосылки!$C$6</f>
        <v>51.255412690086438</v>
      </c>
      <c r="X7" s="22">
        <f>X6*Предпосылки!$C$6</f>
        <v>104.04848776087546</v>
      </c>
      <c r="Y7" s="22">
        <f>Y6*Предпосылки!$C$6</f>
        <v>105.60921507728858</v>
      </c>
      <c r="Z7" s="22">
        <f>Z6*Предпосылки!$C$6</f>
        <v>107.19335330344789</v>
      </c>
      <c r="AA7" s="22">
        <f>AA6*Предпосылки!$C$6</f>
        <v>108.80125360299959</v>
      </c>
      <c r="AB7" s="22">
        <f>AB6*Предпосылки!$C$6</f>
        <v>110.43327240704458</v>
      </c>
      <c r="AC7" s="22">
        <f>AC6*Предпосылки!$C$6</f>
        <v>112.08977149315022</v>
      </c>
      <c r="AD7" s="22">
        <f>AD6*Предпосылки!$C$6</f>
        <v>113.77111806554747</v>
      </c>
      <c r="AE7" s="22">
        <f>AE6*Предпосылки!$C$6</f>
        <v>115.47768483653067</v>
      </c>
      <c r="AF7" s="22">
        <f>AF6*Предпосылки!$C$6</f>
        <v>117.20985010907863</v>
      </c>
      <c r="AG7" s="22">
        <f>AG6*Предпосылки!$C$6</f>
        <v>59.483998930357394</v>
      </c>
      <c r="AH7" s="22">
        <f>AH6*Предпосылки!$C$6</f>
        <v>60.37625891431275</v>
      </c>
      <c r="AI7" s="22">
        <f>AI6*Предпосылки!$C$6</f>
        <v>61.281902798027431</v>
      </c>
      <c r="AJ7" s="22">
        <f>AJ6*Предпосылки!$C$6</f>
        <v>124.40226267999569</v>
      </c>
      <c r="AK7" s="22">
        <f>AK6*Предпосылки!$C$6</f>
        <v>126.26829662019561</v>
      </c>
      <c r="AL7" s="22">
        <f>AL6*Предпосылки!$C$6</f>
        <v>128.16232106949855</v>
      </c>
      <c r="AM7" s="22">
        <f>AM6*Предпосылки!$C$6</f>
        <v>130.084755885541</v>
      </c>
      <c r="AN7" s="22">
        <f>AN6*Предпосылки!$C$6</f>
        <v>132.03602722382411</v>
      </c>
      <c r="AO7" s="22">
        <f>AO6*Предпосылки!$C$6</f>
        <v>134.01656763218145</v>
      </c>
      <c r="AP7" s="22">
        <f>AP6*Предпосылки!$C$6</f>
        <v>136.02681614666417</v>
      </c>
      <c r="AQ7" s="22">
        <f>AQ6*Предпосылки!$C$6</f>
        <v>138.06721838886412</v>
      </c>
      <c r="AR7" s="22">
        <f>AR6*Предпосылки!$C$6</f>
        <v>140.13822666469707</v>
      </c>
      <c r="AS7" s="22">
        <f>AS6*Предпосылки!$C$6</f>
        <v>71.120150032333754</v>
      </c>
      <c r="AT7" s="22">
        <f>AT6*Предпосылки!$C$6</f>
        <v>72.186952282818751</v>
      </c>
      <c r="AU7" s="22">
        <f>AU6*Предпосылки!$C$6</f>
        <v>73.269756567061023</v>
      </c>
      <c r="AV7" s="22">
        <f>AV6*Предпосылки!$C$6</f>
        <v>148.73760583113389</v>
      </c>
      <c r="AW7" s="22">
        <f>AW6*Предпосылки!$C$6</f>
        <v>150.96866991860088</v>
      </c>
      <c r="AX7" s="22">
        <f>AX6*Предпосылки!$C$6</f>
        <v>153.23319996737987</v>
      </c>
      <c r="AY7" s="22">
        <f>AY6*Предпосылки!$C$6</f>
        <v>155.53169796689056</v>
      </c>
    </row>
    <row r="8" spans="2:51" x14ac:dyDescent="0.35">
      <c r="B8" t="s">
        <v>91</v>
      </c>
      <c r="C8" t="s">
        <v>60</v>
      </c>
      <c r="D8" s="22">
        <f t="shared" ref="D8:AY8" si="2">D6-D7</f>
        <v>30</v>
      </c>
      <c r="E8" s="22">
        <f t="shared" si="2"/>
        <v>30</v>
      </c>
      <c r="F8" s="22">
        <f t="shared" si="2"/>
        <v>30</v>
      </c>
      <c r="G8" s="22">
        <f t="shared" si="2"/>
        <v>30</v>
      </c>
      <c r="H8" s="22">
        <f t="shared" si="2"/>
        <v>30</v>
      </c>
      <c r="I8" s="22">
        <f t="shared" si="2"/>
        <v>15</v>
      </c>
      <c r="J8" s="22">
        <f t="shared" si="2"/>
        <v>15</v>
      </c>
      <c r="K8" s="22">
        <f t="shared" si="2"/>
        <v>15</v>
      </c>
      <c r="L8" s="22">
        <f t="shared" si="2"/>
        <v>30</v>
      </c>
      <c r="M8" s="22">
        <f t="shared" si="2"/>
        <v>33</v>
      </c>
      <c r="N8" s="22">
        <f t="shared" si="2"/>
        <v>36</v>
      </c>
      <c r="O8" s="22">
        <f t="shared" si="2"/>
        <v>39</v>
      </c>
      <c r="P8" s="22">
        <f t="shared" si="2"/>
        <v>39.585000000000008</v>
      </c>
      <c r="Q8" s="22">
        <f t="shared" si="2"/>
        <v>40.178775000000002</v>
      </c>
      <c r="R8" s="22">
        <f t="shared" si="2"/>
        <v>40.78145662499999</v>
      </c>
      <c r="S8" s="22">
        <f t="shared" si="2"/>
        <v>41.393178474374992</v>
      </c>
      <c r="T8" s="22">
        <f t="shared" si="2"/>
        <v>42.014076151490613</v>
      </c>
      <c r="U8" s="22">
        <f t="shared" si="2"/>
        <v>21.322143646881486</v>
      </c>
      <c r="V8" s="22">
        <f t="shared" si="2"/>
        <v>21.641975801584707</v>
      </c>
      <c r="W8" s="22">
        <f t="shared" si="2"/>
        <v>21.966605438608475</v>
      </c>
      <c r="X8" s="22">
        <f t="shared" si="2"/>
        <v>44.592209040375209</v>
      </c>
      <c r="Y8" s="22">
        <f t="shared" si="2"/>
        <v>45.261092175980821</v>
      </c>
      <c r="Z8" s="22">
        <f t="shared" si="2"/>
        <v>45.940008558620534</v>
      </c>
      <c r="AA8" s="22">
        <f t="shared" si="2"/>
        <v>46.629108686999842</v>
      </c>
      <c r="AB8" s="22">
        <f t="shared" si="2"/>
        <v>47.32854531730483</v>
      </c>
      <c r="AC8" s="22">
        <f t="shared" si="2"/>
        <v>48.038473497064402</v>
      </c>
      <c r="AD8" s="22">
        <f t="shared" si="2"/>
        <v>48.759050599520364</v>
      </c>
      <c r="AE8" s="22">
        <f t="shared" si="2"/>
        <v>49.490436358513165</v>
      </c>
      <c r="AF8" s="22">
        <f t="shared" si="2"/>
        <v>50.232792903890854</v>
      </c>
      <c r="AG8" s="22">
        <f t="shared" si="2"/>
        <v>25.493142398724608</v>
      </c>
      <c r="AH8" s="22">
        <f t="shared" si="2"/>
        <v>25.875539534705474</v>
      </c>
      <c r="AI8" s="22">
        <f t="shared" si="2"/>
        <v>26.263672627726052</v>
      </c>
      <c r="AJ8" s="22">
        <f t="shared" si="2"/>
        <v>53.31525543428387</v>
      </c>
      <c r="AK8" s="22">
        <f t="shared" si="2"/>
        <v>54.114984265798128</v>
      </c>
      <c r="AL8" s="22">
        <f t="shared" si="2"/>
        <v>54.926709029785087</v>
      </c>
      <c r="AM8" s="22">
        <f t="shared" si="2"/>
        <v>55.750609665231877</v>
      </c>
      <c r="AN8" s="22">
        <f t="shared" si="2"/>
        <v>56.586868810210348</v>
      </c>
      <c r="AO8" s="22">
        <f t="shared" si="2"/>
        <v>57.43567184236349</v>
      </c>
      <c r="AP8" s="22">
        <f t="shared" si="2"/>
        <v>58.297206919998928</v>
      </c>
      <c r="AQ8" s="22">
        <f t="shared" si="2"/>
        <v>59.171665023798909</v>
      </c>
      <c r="AR8" s="22">
        <f t="shared" si="2"/>
        <v>60.059239999155892</v>
      </c>
      <c r="AS8" s="22">
        <f t="shared" si="2"/>
        <v>30.480064299571609</v>
      </c>
      <c r="AT8" s="22">
        <f t="shared" si="2"/>
        <v>30.937265264065189</v>
      </c>
      <c r="AU8" s="22">
        <f t="shared" si="2"/>
        <v>31.401324243026167</v>
      </c>
      <c r="AV8" s="22">
        <f t="shared" si="2"/>
        <v>63.744688213343096</v>
      </c>
      <c r="AW8" s="22">
        <f t="shared" si="2"/>
        <v>64.700858536543251</v>
      </c>
      <c r="AX8" s="22">
        <f t="shared" si="2"/>
        <v>65.671371414591391</v>
      </c>
      <c r="AY8" s="22">
        <f t="shared" si="2"/>
        <v>66.656441985810261</v>
      </c>
    </row>
    <row r="9" spans="2:51" x14ac:dyDescent="0.35">
      <c r="B9" t="s">
        <v>92</v>
      </c>
      <c r="C9" t="s">
        <v>60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f>IF(P88&lt;=Предпосылки!$C$94,Предпосылки!$C$93,0)</f>
        <v>0</v>
      </c>
      <c r="Q9" s="22">
        <f>IF(Q88&lt;=Предпосылки!$C$94,Предпосылки!$C$93,0)</f>
        <v>0</v>
      </c>
      <c r="R9" s="22">
        <f>IF(R88&lt;=Предпосылки!$C$94,Предпосылки!$C$93,0)</f>
        <v>0</v>
      </c>
      <c r="S9" s="22">
        <f>IF(S88&lt;=Предпосылки!$C$94,Предпосылки!$C$93,0)</f>
        <v>0</v>
      </c>
      <c r="T9" s="22">
        <f>IF(T88&lt;=Предпосылки!$C$94,Предпосылки!$C$93,0)</f>
        <v>0</v>
      </c>
      <c r="U9" s="22">
        <f>IF(U88&lt;=Предпосылки!$C$94,Предпосылки!$C$93,0)</f>
        <v>0</v>
      </c>
      <c r="V9" s="22">
        <f>IF(V88&lt;=Предпосылки!$C$94,Предпосылки!$C$93,0)</f>
        <v>0</v>
      </c>
      <c r="W9" s="22">
        <f>IF(W88&lt;=Предпосылки!$C$94,Предпосылки!$C$93,0)</f>
        <v>0</v>
      </c>
      <c r="X9" s="22">
        <f>IF(X88&lt;=Предпосылки!$C$94,Предпосылки!$C$93,0)</f>
        <v>0</v>
      </c>
      <c r="Y9" s="22">
        <f>IF(Y88&lt;=Предпосылки!$C$94,Предпосылки!$C$93,0)</f>
        <v>0</v>
      </c>
      <c r="Z9" s="22">
        <f>IF(Z88&lt;=Предпосылки!$C$94,Предпосылки!$C$93,0)</f>
        <v>0</v>
      </c>
      <c r="AA9" s="22">
        <f>IF(AA88&lt;=Предпосылки!$C$94,Предпосылки!$C$93,0)</f>
        <v>0</v>
      </c>
      <c r="AB9" s="22">
        <f>IF(AB88&lt;=Предпосылки!$C$94,Предпосылки!$C$93,0)</f>
        <v>0</v>
      </c>
      <c r="AC9" s="22">
        <f>IF(AC88&lt;=Предпосылки!$C$94,Предпосылки!$C$93,0)</f>
        <v>0</v>
      </c>
      <c r="AD9" s="22">
        <f>IF(AD88&lt;=Предпосылки!$C$94,Предпосылки!$C$93,0)</f>
        <v>0</v>
      </c>
      <c r="AE9" s="22">
        <f>IF(AE88&lt;=Предпосылки!$C$94,Предпосылки!$C$93,0)</f>
        <v>0</v>
      </c>
      <c r="AF9" s="22">
        <f>IF(AF88&lt;=Предпосылки!$C$94,Предпосылки!$C$93,0)</f>
        <v>0</v>
      </c>
      <c r="AG9" s="22">
        <f>IF(AG88&lt;=Предпосылки!$C$94,Предпосылки!$C$93,0)</f>
        <v>0</v>
      </c>
      <c r="AH9" s="22">
        <f>IF(AH88&lt;=Предпосылки!$C$94,Предпосылки!$C$93,0)</f>
        <v>0</v>
      </c>
      <c r="AI9" s="22">
        <f>IF(AI88&lt;=Предпосылки!$C$94,Предпосылки!$C$93,0)</f>
        <v>0</v>
      </c>
      <c r="AJ9" s="22">
        <f>IF(AJ88&lt;=Предпосылки!$C$94,Предпосылки!$C$93,0)</f>
        <v>0</v>
      </c>
      <c r="AK9" s="22">
        <f>IF(AK88&lt;=Предпосылки!$C$94,Предпосылки!$C$93,0)</f>
        <v>0</v>
      </c>
      <c r="AL9" s="22">
        <f>IF(AL88&lt;=Предпосылки!$C$94,Предпосылки!$C$93,0)</f>
        <v>0</v>
      </c>
      <c r="AM9" s="22">
        <f>IF(AM88&lt;=Предпосылки!$C$94,Предпосылки!$C$93,0)</f>
        <v>0</v>
      </c>
      <c r="AN9" s="22">
        <f>IF(AN88&lt;=Предпосылки!$C$94,Предпосылки!$C$93,0)</f>
        <v>0</v>
      </c>
      <c r="AO9" s="22">
        <f>IF(AO88&lt;=Предпосылки!$C$94,Предпосылки!$C$93,0)</f>
        <v>0</v>
      </c>
      <c r="AP9" s="22">
        <f>IF(AP88&lt;=Предпосылки!$C$94,Предпосылки!$C$93,0)</f>
        <v>0</v>
      </c>
      <c r="AQ9" s="22">
        <f>IF(AQ88&lt;=Предпосылки!$C$94,Предпосылки!$C$93,0)</f>
        <v>0</v>
      </c>
      <c r="AR9" s="22">
        <f>IF(AR88&lt;=Предпосылки!$C$94,Предпосылки!$C$93,0)</f>
        <v>0</v>
      </c>
      <c r="AS9" s="22">
        <f>IF(AS88&lt;=Предпосылки!$C$94,Предпосылки!$C$93,0)</f>
        <v>0</v>
      </c>
      <c r="AT9" s="22">
        <f>IF(AT88&lt;=Предпосылки!$C$94,Предпосылки!$C$93,0)</f>
        <v>0</v>
      </c>
      <c r="AU9" s="22">
        <f>IF(AU88&lt;=Предпосылки!$C$94,Предпосылки!$C$93,0)</f>
        <v>0</v>
      </c>
      <c r="AV9" s="22">
        <f>IF(AV88&lt;=Предпосылки!$C$94,Предпосылки!$C$93,0)</f>
        <v>0</v>
      </c>
      <c r="AW9" s="22">
        <f>IF(AW88&lt;=Предпосылки!$C$94,Предпосылки!$C$93,0)</f>
        <v>0</v>
      </c>
      <c r="AX9" s="22">
        <f>IF(AX88&lt;=Предпосылки!$C$94,Предпосылки!$C$93,0)</f>
        <v>0</v>
      </c>
      <c r="AY9" s="22">
        <f>IF(AY88&lt;=Предпосылки!$C$94,Предпосылки!$C$93,0)</f>
        <v>0</v>
      </c>
    </row>
    <row r="10" spans="2:51" x14ac:dyDescent="0.35">
      <c r="B10" t="s">
        <v>93</v>
      </c>
      <c r="C10" t="s">
        <v>60</v>
      </c>
      <c r="D10" s="22">
        <f>SUM(D8:D8)+D9</f>
        <v>30</v>
      </c>
      <c r="E10" s="22">
        <f>SUM(D8:E8)+E9</f>
        <v>60</v>
      </c>
      <c r="F10" s="22">
        <f>SUM(D8:F8)+F9</f>
        <v>90</v>
      </c>
      <c r="G10" s="22">
        <f>SUM(D8:G8)+G9</f>
        <v>120</v>
      </c>
      <c r="H10" s="22">
        <f>SUM(D8:H8)+H9</f>
        <v>150</v>
      </c>
      <c r="I10" s="22">
        <f>SUM(D8:I8)+I9</f>
        <v>165</v>
      </c>
      <c r="J10" s="22">
        <f>SUM(D8:J8)+J9</f>
        <v>180</v>
      </c>
      <c r="K10" s="22">
        <f>SUM(D8:K8)+K9</f>
        <v>195</v>
      </c>
      <c r="L10" s="22">
        <f>SUM(D8:L8)+L9</f>
        <v>225</v>
      </c>
      <c r="M10" s="22">
        <f>SUM(D8:M8)+M9</f>
        <v>258</v>
      </c>
      <c r="N10" s="22">
        <f>SUM(D8:N8)+N9</f>
        <v>294</v>
      </c>
      <c r="O10" s="22">
        <f t="shared" ref="O10:AY10" si="3">SUM(D8:O8)+O9</f>
        <v>333</v>
      </c>
      <c r="P10" s="22">
        <f t="shared" si="3"/>
        <v>342.58500000000004</v>
      </c>
      <c r="Q10" s="22">
        <f t="shared" si="3"/>
        <v>352.76377500000001</v>
      </c>
      <c r="R10" s="22">
        <f t="shared" si="3"/>
        <v>363.54523162499999</v>
      </c>
      <c r="S10" s="22">
        <f t="shared" si="3"/>
        <v>374.93841009937501</v>
      </c>
      <c r="T10" s="22">
        <f t="shared" si="3"/>
        <v>386.9524862508656</v>
      </c>
      <c r="U10" s="22">
        <f t="shared" si="3"/>
        <v>393.2746298977471</v>
      </c>
      <c r="V10" s="22">
        <f t="shared" si="3"/>
        <v>399.9166056993318</v>
      </c>
      <c r="W10" s="22">
        <f t="shared" si="3"/>
        <v>406.88321113794029</v>
      </c>
      <c r="X10" s="22">
        <f t="shared" si="3"/>
        <v>421.47542017831552</v>
      </c>
      <c r="Y10" s="22">
        <f t="shared" si="3"/>
        <v>433.73651235429634</v>
      </c>
      <c r="Z10" s="22">
        <f t="shared" si="3"/>
        <v>443.67652091291689</v>
      </c>
      <c r="AA10" s="22">
        <f t="shared" si="3"/>
        <v>451.30562959991676</v>
      </c>
      <c r="AB10" s="22">
        <f t="shared" si="3"/>
        <v>459.04917491722142</v>
      </c>
      <c r="AC10" s="22">
        <f t="shared" si="3"/>
        <v>466.90887341428584</v>
      </c>
      <c r="AD10" s="22">
        <f t="shared" si="3"/>
        <v>474.8864673888063</v>
      </c>
      <c r="AE10" s="22">
        <f t="shared" si="3"/>
        <v>482.98372527294453</v>
      </c>
      <c r="AF10" s="22">
        <f t="shared" si="3"/>
        <v>491.20244202534468</v>
      </c>
      <c r="AG10" s="22">
        <f t="shared" si="3"/>
        <v>495.3734407771878</v>
      </c>
      <c r="AH10" s="22">
        <f t="shared" si="3"/>
        <v>499.60700451030863</v>
      </c>
      <c r="AI10" s="22">
        <f t="shared" si="3"/>
        <v>503.90407169942614</v>
      </c>
      <c r="AJ10" s="22">
        <f t="shared" si="3"/>
        <v>512.62711809333473</v>
      </c>
      <c r="AK10" s="22">
        <f t="shared" si="3"/>
        <v>521.48101018315219</v>
      </c>
      <c r="AL10" s="22">
        <f t="shared" si="3"/>
        <v>530.46771065431665</v>
      </c>
      <c r="AM10" s="22">
        <f t="shared" si="3"/>
        <v>539.58921163254865</v>
      </c>
      <c r="AN10" s="22">
        <f t="shared" si="3"/>
        <v>548.84753512545421</v>
      </c>
      <c r="AO10" s="22">
        <f t="shared" si="3"/>
        <v>558.24473347075332</v>
      </c>
      <c r="AP10" s="22">
        <f t="shared" si="3"/>
        <v>567.78288979123181</v>
      </c>
      <c r="AQ10" s="22">
        <f t="shared" si="3"/>
        <v>577.46411845651767</v>
      </c>
      <c r="AR10" s="22">
        <f t="shared" si="3"/>
        <v>587.29056555178272</v>
      </c>
      <c r="AS10" s="22">
        <f t="shared" si="3"/>
        <v>592.27748745262966</v>
      </c>
      <c r="AT10" s="22">
        <f t="shared" si="3"/>
        <v>597.33921318198941</v>
      </c>
      <c r="AU10" s="22">
        <f t="shared" si="3"/>
        <v>602.47686479728952</v>
      </c>
      <c r="AV10" s="22">
        <f t="shared" si="3"/>
        <v>612.90629757634872</v>
      </c>
      <c r="AW10" s="22">
        <f t="shared" si="3"/>
        <v>623.49217184709391</v>
      </c>
      <c r="AX10" s="22">
        <f t="shared" si="3"/>
        <v>634.23683423190016</v>
      </c>
      <c r="AY10" s="22">
        <f t="shared" si="3"/>
        <v>645.14266655247854</v>
      </c>
    </row>
    <row r="11" spans="2:51" x14ac:dyDescent="0.35">
      <c r="B11" t="s">
        <v>94</v>
      </c>
      <c r="C11" t="s">
        <v>60</v>
      </c>
      <c r="D11" s="22">
        <f t="shared" ref="D11:AY11" si="4">D10*D5</f>
        <v>30</v>
      </c>
      <c r="E11" s="22">
        <f t="shared" si="4"/>
        <v>60</v>
      </c>
      <c r="F11" s="22">
        <f t="shared" si="4"/>
        <v>90</v>
      </c>
      <c r="G11" s="22">
        <f t="shared" si="4"/>
        <v>120</v>
      </c>
      <c r="H11" s="22">
        <f t="shared" si="4"/>
        <v>150</v>
      </c>
      <c r="I11" s="22">
        <f t="shared" si="4"/>
        <v>82.5</v>
      </c>
      <c r="J11" s="22">
        <f t="shared" si="4"/>
        <v>90</v>
      </c>
      <c r="K11" s="22">
        <f t="shared" si="4"/>
        <v>97.5</v>
      </c>
      <c r="L11" s="22">
        <f t="shared" si="4"/>
        <v>225</v>
      </c>
      <c r="M11" s="22">
        <f t="shared" si="4"/>
        <v>258</v>
      </c>
      <c r="N11" s="22">
        <f t="shared" si="4"/>
        <v>294</v>
      </c>
      <c r="O11" s="22">
        <f t="shared" si="4"/>
        <v>333</v>
      </c>
      <c r="P11" s="22">
        <f t="shared" si="4"/>
        <v>342.58500000000004</v>
      </c>
      <c r="Q11" s="22">
        <f t="shared" si="4"/>
        <v>352.76377500000001</v>
      </c>
      <c r="R11" s="22">
        <f t="shared" si="4"/>
        <v>363.54523162499999</v>
      </c>
      <c r="S11" s="22">
        <f t="shared" si="4"/>
        <v>374.93841009937501</v>
      </c>
      <c r="T11" s="22">
        <f t="shared" si="4"/>
        <v>386.9524862508656</v>
      </c>
      <c r="U11" s="22">
        <f t="shared" si="4"/>
        <v>196.63731494887355</v>
      </c>
      <c r="V11" s="22">
        <f t="shared" si="4"/>
        <v>199.9583028496659</v>
      </c>
      <c r="W11" s="22">
        <f t="shared" si="4"/>
        <v>203.44160556897015</v>
      </c>
      <c r="X11" s="22">
        <f t="shared" si="4"/>
        <v>421.47542017831552</v>
      </c>
      <c r="Y11" s="22">
        <f t="shared" si="4"/>
        <v>433.73651235429634</v>
      </c>
      <c r="Z11" s="22">
        <f t="shared" si="4"/>
        <v>443.67652091291689</v>
      </c>
      <c r="AA11" s="22">
        <f t="shared" si="4"/>
        <v>451.30562959991676</v>
      </c>
      <c r="AB11" s="22">
        <f t="shared" si="4"/>
        <v>459.04917491722142</v>
      </c>
      <c r="AC11" s="22">
        <f t="shared" si="4"/>
        <v>466.90887341428584</v>
      </c>
      <c r="AD11" s="22">
        <f t="shared" si="4"/>
        <v>474.8864673888063</v>
      </c>
      <c r="AE11" s="22">
        <f t="shared" si="4"/>
        <v>482.98372527294453</v>
      </c>
      <c r="AF11" s="22">
        <f t="shared" si="4"/>
        <v>491.20244202534468</v>
      </c>
      <c r="AG11" s="22">
        <f t="shared" si="4"/>
        <v>247.6867203885939</v>
      </c>
      <c r="AH11" s="22">
        <f t="shared" si="4"/>
        <v>249.80350225515431</v>
      </c>
      <c r="AI11" s="22">
        <f t="shared" si="4"/>
        <v>251.95203584971307</v>
      </c>
      <c r="AJ11" s="22">
        <f t="shared" si="4"/>
        <v>512.62711809333473</v>
      </c>
      <c r="AK11" s="22">
        <f t="shared" si="4"/>
        <v>521.48101018315219</v>
      </c>
      <c r="AL11" s="22">
        <f t="shared" si="4"/>
        <v>530.46771065431665</v>
      </c>
      <c r="AM11" s="22">
        <f t="shared" si="4"/>
        <v>539.58921163254865</v>
      </c>
      <c r="AN11" s="22">
        <f t="shared" si="4"/>
        <v>548.84753512545421</v>
      </c>
      <c r="AO11" s="22">
        <f t="shared" si="4"/>
        <v>558.24473347075332</v>
      </c>
      <c r="AP11" s="22">
        <f t="shared" si="4"/>
        <v>567.78288979123181</v>
      </c>
      <c r="AQ11" s="22">
        <f t="shared" si="4"/>
        <v>577.46411845651767</v>
      </c>
      <c r="AR11" s="22">
        <f t="shared" si="4"/>
        <v>587.29056555178272</v>
      </c>
      <c r="AS11" s="22">
        <f t="shared" si="4"/>
        <v>296.13874372631483</v>
      </c>
      <c r="AT11" s="22">
        <f t="shared" si="4"/>
        <v>298.6696065909947</v>
      </c>
      <c r="AU11" s="22">
        <f t="shared" si="4"/>
        <v>301.23843239864476</v>
      </c>
      <c r="AV11" s="22">
        <f t="shared" si="4"/>
        <v>612.90629757634872</v>
      </c>
      <c r="AW11" s="22">
        <f t="shared" si="4"/>
        <v>623.49217184709391</v>
      </c>
      <c r="AX11" s="22">
        <f t="shared" si="4"/>
        <v>634.23683423190016</v>
      </c>
      <c r="AY11" s="22">
        <f t="shared" si="4"/>
        <v>645.14266655247854</v>
      </c>
    </row>
    <row r="12" spans="2:51" x14ac:dyDescent="0.35">
      <c r="B12" t="s">
        <v>95</v>
      </c>
      <c r="C12" t="s">
        <v>60</v>
      </c>
      <c r="D12" s="22">
        <f t="shared" ref="D12:AY12" si="5">D7+D11</f>
        <v>100</v>
      </c>
      <c r="E12" s="22">
        <f t="shared" si="5"/>
        <v>130</v>
      </c>
      <c r="F12" s="22">
        <f t="shared" si="5"/>
        <v>160</v>
      </c>
      <c r="G12" s="22">
        <f t="shared" si="5"/>
        <v>190</v>
      </c>
      <c r="H12" s="22">
        <f t="shared" si="5"/>
        <v>220</v>
      </c>
      <c r="I12" s="22">
        <f t="shared" si="5"/>
        <v>117.5</v>
      </c>
      <c r="J12" s="22">
        <f t="shared" si="5"/>
        <v>125</v>
      </c>
      <c r="K12" s="22">
        <f t="shared" si="5"/>
        <v>132.5</v>
      </c>
      <c r="L12" s="22">
        <f t="shared" si="5"/>
        <v>295</v>
      </c>
      <c r="M12" s="22">
        <f t="shared" si="5"/>
        <v>335</v>
      </c>
      <c r="N12" s="22">
        <f t="shared" si="5"/>
        <v>378</v>
      </c>
      <c r="O12" s="22">
        <f t="shared" si="5"/>
        <v>424</v>
      </c>
      <c r="P12" s="22">
        <f t="shared" si="5"/>
        <v>434.95000000000005</v>
      </c>
      <c r="Q12" s="22">
        <f t="shared" si="5"/>
        <v>446.51424999999995</v>
      </c>
      <c r="R12" s="22">
        <f t="shared" si="5"/>
        <v>458.70196374999995</v>
      </c>
      <c r="S12" s="22">
        <f t="shared" si="5"/>
        <v>471.52249320624998</v>
      </c>
      <c r="T12" s="22">
        <f t="shared" si="5"/>
        <v>484.98533060434369</v>
      </c>
      <c r="U12" s="22">
        <f t="shared" si="5"/>
        <v>246.38898345826368</v>
      </c>
      <c r="V12" s="22">
        <f t="shared" si="5"/>
        <v>250.45624638669688</v>
      </c>
      <c r="W12" s="22">
        <f t="shared" si="5"/>
        <v>254.69701825905659</v>
      </c>
      <c r="X12" s="22">
        <f t="shared" si="5"/>
        <v>525.52390793919096</v>
      </c>
      <c r="Y12" s="22">
        <f t="shared" si="5"/>
        <v>539.34572743158492</v>
      </c>
      <c r="Z12" s="22">
        <f t="shared" si="5"/>
        <v>550.86987421636479</v>
      </c>
      <c r="AA12" s="22">
        <f t="shared" si="5"/>
        <v>560.10688320291638</v>
      </c>
      <c r="AB12" s="22">
        <f t="shared" si="5"/>
        <v>569.48244732426599</v>
      </c>
      <c r="AC12" s="22">
        <f t="shared" si="5"/>
        <v>578.99864490743607</v>
      </c>
      <c r="AD12" s="22">
        <f t="shared" si="5"/>
        <v>588.65758545435381</v>
      </c>
      <c r="AE12" s="22">
        <f t="shared" si="5"/>
        <v>598.4614101094752</v>
      </c>
      <c r="AF12" s="22">
        <f t="shared" si="5"/>
        <v>608.4122921344233</v>
      </c>
      <c r="AG12" s="22">
        <f t="shared" si="5"/>
        <v>307.17071931895129</v>
      </c>
      <c r="AH12" s="22">
        <f t="shared" si="5"/>
        <v>310.17976116946704</v>
      </c>
      <c r="AI12" s="22">
        <f t="shared" si="5"/>
        <v>313.2339386477405</v>
      </c>
      <c r="AJ12" s="22">
        <f t="shared" si="5"/>
        <v>637.02938077333044</v>
      </c>
      <c r="AK12" s="22">
        <f t="shared" si="5"/>
        <v>647.74930680334785</v>
      </c>
      <c r="AL12" s="22">
        <f t="shared" si="5"/>
        <v>658.63003172381514</v>
      </c>
      <c r="AM12" s="22">
        <f t="shared" si="5"/>
        <v>669.67396751808963</v>
      </c>
      <c r="AN12" s="22">
        <f t="shared" si="5"/>
        <v>680.88356234927835</v>
      </c>
      <c r="AO12" s="22">
        <f t="shared" si="5"/>
        <v>692.26130110293479</v>
      </c>
      <c r="AP12" s="22">
        <f t="shared" si="5"/>
        <v>703.80970593789596</v>
      </c>
      <c r="AQ12" s="22">
        <f t="shared" si="5"/>
        <v>715.53133684538182</v>
      </c>
      <c r="AR12" s="22">
        <f t="shared" si="5"/>
        <v>727.42879221647979</v>
      </c>
      <c r="AS12" s="22">
        <f t="shared" si="5"/>
        <v>367.25889375864858</v>
      </c>
      <c r="AT12" s="22">
        <f t="shared" si="5"/>
        <v>370.85655887381347</v>
      </c>
      <c r="AU12" s="22">
        <f t="shared" si="5"/>
        <v>374.50818896570581</v>
      </c>
      <c r="AV12" s="22">
        <f t="shared" si="5"/>
        <v>761.64390340748264</v>
      </c>
      <c r="AW12" s="22">
        <f t="shared" si="5"/>
        <v>774.46084176569479</v>
      </c>
      <c r="AX12" s="22">
        <f t="shared" si="5"/>
        <v>787.47003419928001</v>
      </c>
      <c r="AY12" s="22">
        <f t="shared" si="5"/>
        <v>800.67436451936908</v>
      </c>
    </row>
    <row r="14" spans="2:51" x14ac:dyDescent="0.35">
      <c r="B14" s="20" t="s">
        <v>96</v>
      </c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</row>
    <row r="15" spans="2:51" x14ac:dyDescent="0.35">
      <c r="B15" t="s">
        <v>97</v>
      </c>
      <c r="C15" t="s">
        <v>60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>
        <f>P6*Предпосылки!$C$7</f>
        <v>39.584999999999994</v>
      </c>
      <c r="Q15" s="22">
        <f>Q6*Предпосылки!$C$7</f>
        <v>40.178774999999987</v>
      </c>
      <c r="R15" s="22">
        <f>R6*Предпосылки!$C$7</f>
        <v>40.78145662499999</v>
      </c>
      <c r="S15" s="22">
        <f>S6*Предпосылки!$C$7</f>
        <v>41.393178474374984</v>
      </c>
      <c r="T15" s="22">
        <f>T6*Предпосылки!$C$7</f>
        <v>42.014076151490613</v>
      </c>
      <c r="U15" s="22">
        <f>U6*Предпосылки!$C$7</f>
        <v>21.322143646881482</v>
      </c>
      <c r="V15" s="22">
        <f>V6*Предпосылки!$C$7</f>
        <v>21.641975801584703</v>
      </c>
      <c r="W15" s="22">
        <f>W6*Предпосылки!$C$7</f>
        <v>21.966605438608472</v>
      </c>
      <c r="X15" s="22">
        <f>X6*Предпосылки!$C$7</f>
        <v>44.592209040375202</v>
      </c>
      <c r="Y15" s="22">
        <f>Y6*Предпосылки!$C$7</f>
        <v>45.261092175980821</v>
      </c>
      <c r="Z15" s="22">
        <f>Z6*Предпосылки!$C$7</f>
        <v>45.940008558620526</v>
      </c>
      <c r="AA15" s="22">
        <f>AA6*Предпосылки!$C$7</f>
        <v>46.629108686999828</v>
      </c>
      <c r="AB15" s="22">
        <f>AB6*Предпосылки!$C$7</f>
        <v>47.328545317304823</v>
      </c>
      <c r="AC15" s="22">
        <f>AC6*Предпосылки!$C$7</f>
        <v>48.038473497064388</v>
      </c>
      <c r="AD15" s="22">
        <f>AD6*Предпосылки!$C$7</f>
        <v>48.75905059952035</v>
      </c>
      <c r="AE15" s="22">
        <f>AE6*Предпосылки!$C$7</f>
        <v>49.490436358513151</v>
      </c>
      <c r="AF15" s="22">
        <f>AF6*Предпосылки!$C$7</f>
        <v>50.232792903890847</v>
      </c>
      <c r="AG15" s="22">
        <f>AG6*Предпосылки!$C$7</f>
        <v>25.493142398724601</v>
      </c>
      <c r="AH15" s="22">
        <f>AH6*Предпосылки!$C$7</f>
        <v>25.875539534705467</v>
      </c>
      <c r="AI15" s="22">
        <f>AI6*Предпосылки!$C$7</f>
        <v>26.263672627726045</v>
      </c>
      <c r="AJ15" s="22">
        <f>AJ6*Предпосылки!$C$7</f>
        <v>53.315255434283863</v>
      </c>
      <c r="AK15" s="22">
        <f>AK6*Предпосылки!$C$7</f>
        <v>54.114984265798121</v>
      </c>
      <c r="AL15" s="22">
        <f>AL6*Предпосылки!$C$7</f>
        <v>54.926709029785087</v>
      </c>
      <c r="AM15" s="22">
        <f>AM6*Предпосылки!$C$7</f>
        <v>55.750609665231863</v>
      </c>
      <c r="AN15" s="22">
        <f>AN6*Предпосылки!$C$7</f>
        <v>56.586868810210333</v>
      </c>
      <c r="AO15" s="22">
        <f>AO6*Предпосылки!$C$7</f>
        <v>57.435671842363483</v>
      </c>
      <c r="AP15" s="22">
        <f>AP6*Предпосылки!$C$7</f>
        <v>58.297206919998928</v>
      </c>
      <c r="AQ15" s="22">
        <f>AQ6*Предпосылки!$C$7</f>
        <v>59.171665023798909</v>
      </c>
      <c r="AR15" s="22">
        <f>AR6*Предпосылки!$C$7</f>
        <v>60.059239999155885</v>
      </c>
      <c r="AS15" s="22">
        <f>AS6*Предпосылки!$C$7</f>
        <v>30.480064299571609</v>
      </c>
      <c r="AT15" s="22">
        <f>AT6*Предпосылки!$C$7</f>
        <v>30.937265264065182</v>
      </c>
      <c r="AU15" s="22">
        <f>AU6*Предпосылки!$C$7</f>
        <v>31.401324243026156</v>
      </c>
      <c r="AV15" s="22">
        <f>AV6*Предпосылки!$C$7</f>
        <v>63.744688213343096</v>
      </c>
      <c r="AW15" s="22">
        <f>AW6*Предпосылки!$C$7</f>
        <v>64.700858536543237</v>
      </c>
      <c r="AX15" s="22">
        <f>AX6*Предпосылки!$C$7</f>
        <v>65.671371414591377</v>
      </c>
      <c r="AY15" s="22">
        <f>AY6*Предпосылки!$C$7</f>
        <v>66.656441985810247</v>
      </c>
    </row>
    <row r="16" spans="2:51" x14ac:dyDescent="0.35">
      <c r="B16" t="s">
        <v>98</v>
      </c>
      <c r="C16" t="s">
        <v>60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>
        <f>P6*(1-Предпосылки!$C$7)</f>
        <v>92.364999999999981</v>
      </c>
      <c r="Q16" s="22">
        <f>Q6*(1-Предпосылки!$C$7)</f>
        <v>93.750474999999966</v>
      </c>
      <c r="R16" s="22">
        <f>R6*(1-Предпосылки!$C$7)</f>
        <v>95.156732124999976</v>
      </c>
      <c r="S16" s="22">
        <f>S6*(1-Предпосылки!$C$7)</f>
        <v>96.584083106874971</v>
      </c>
      <c r="T16" s="22">
        <f>T6*(1-Предпосылки!$C$7)</f>
        <v>98.032844353478097</v>
      </c>
      <c r="U16" s="22">
        <f>U6*(1-Предпосылки!$C$7)</f>
        <v>49.751668509390129</v>
      </c>
      <c r="V16" s="22">
        <f>V6*(1-Предпосылки!$C$7)</f>
        <v>50.497943537030977</v>
      </c>
      <c r="W16" s="22">
        <f>W6*(1-Предпосылки!$C$7)</f>
        <v>51.255412690086438</v>
      </c>
      <c r="X16" s="22">
        <f>X6*(1-Предпосылки!$C$7)</f>
        <v>104.04848776087546</v>
      </c>
      <c r="Y16" s="22">
        <f>Y6*(1-Предпосылки!$C$7)</f>
        <v>105.60921507728858</v>
      </c>
      <c r="Z16" s="22">
        <f>Z6*(1-Предпосылки!$C$7)</f>
        <v>107.19335330344789</v>
      </c>
      <c r="AA16" s="22">
        <f>AA6*(1-Предпосылки!$C$7)</f>
        <v>108.80125360299959</v>
      </c>
      <c r="AB16" s="22">
        <f>AB6*(1-Предпосылки!$C$7)</f>
        <v>110.43327240704458</v>
      </c>
      <c r="AC16" s="22">
        <f>AC6*(1-Предпосылки!$C$7)</f>
        <v>112.08977149315022</v>
      </c>
      <c r="AD16" s="22">
        <f>AD6*(1-Предпосылки!$C$7)</f>
        <v>113.77111806554747</v>
      </c>
      <c r="AE16" s="22">
        <f>AE6*(1-Предпосылки!$C$7)</f>
        <v>115.47768483653067</v>
      </c>
      <c r="AF16" s="22">
        <f>AF6*(1-Предпосылки!$C$7)</f>
        <v>117.20985010907863</v>
      </c>
      <c r="AG16" s="22">
        <f>AG6*(1-Предпосылки!$C$7)</f>
        <v>59.483998930357394</v>
      </c>
      <c r="AH16" s="22">
        <f>AH6*(1-Предпосылки!$C$7)</f>
        <v>60.37625891431275</v>
      </c>
      <c r="AI16" s="22">
        <f>AI6*(1-Предпосылки!$C$7)</f>
        <v>61.281902798027431</v>
      </c>
      <c r="AJ16" s="22">
        <f>AJ6*(1-Предпосылки!$C$7)</f>
        <v>124.40226267999569</v>
      </c>
      <c r="AK16" s="22">
        <f>AK6*(1-Предпосылки!$C$7)</f>
        <v>126.26829662019561</v>
      </c>
      <c r="AL16" s="22">
        <f>AL6*(1-Предпосылки!$C$7)</f>
        <v>128.16232106949855</v>
      </c>
      <c r="AM16" s="22">
        <f>AM6*(1-Предпосылки!$C$7)</f>
        <v>130.084755885541</v>
      </c>
      <c r="AN16" s="22">
        <f>AN6*(1-Предпосылки!$C$7)</f>
        <v>132.03602722382411</v>
      </c>
      <c r="AO16" s="22">
        <f>AO6*(1-Предпосылки!$C$7)</f>
        <v>134.01656763218145</v>
      </c>
      <c r="AP16" s="22">
        <f>AP6*(1-Предпосылки!$C$7)</f>
        <v>136.02681614666417</v>
      </c>
      <c r="AQ16" s="22">
        <f>AQ6*(1-Предпосылки!$C$7)</f>
        <v>138.06721838886412</v>
      </c>
      <c r="AR16" s="22">
        <f>AR6*(1-Предпосылки!$C$7)</f>
        <v>140.13822666469707</v>
      </c>
      <c r="AS16" s="22">
        <f>AS6*(1-Предпосылки!$C$7)</f>
        <v>71.120150032333754</v>
      </c>
      <c r="AT16" s="22">
        <f>AT6*(1-Предпосылки!$C$7)</f>
        <v>72.186952282818751</v>
      </c>
      <c r="AU16" s="22">
        <f>AU6*(1-Предпосылки!$C$7)</f>
        <v>73.269756567061023</v>
      </c>
      <c r="AV16" s="22">
        <f>AV6*(1-Предпосылки!$C$7)</f>
        <v>148.73760583113389</v>
      </c>
      <c r="AW16" s="22">
        <f>AW6*(1-Предпосылки!$C$7)</f>
        <v>150.96866991860088</v>
      </c>
      <c r="AX16" s="22">
        <f>AX6*(1-Предпосылки!$C$7)</f>
        <v>153.23319996737987</v>
      </c>
      <c r="AY16" s="22">
        <f>AY6*(1-Предпосылки!$C$7)</f>
        <v>155.53169796689056</v>
      </c>
    </row>
    <row r="17" spans="2:51" x14ac:dyDescent="0.35">
      <c r="B17" t="s">
        <v>99</v>
      </c>
      <c r="C17" t="s">
        <v>47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>
        <f>P15/(Предпосылки!$C$32*Предпосылки!$C$34*Предпосылки!$C$35)</f>
        <v>131949.99999999997</v>
      </c>
      <c r="Q17" s="24">
        <f>Q15/(Предпосылки!$C$32*Предпосылки!$C$34*Предпосылки!$C$35)</f>
        <v>133929.24999999994</v>
      </c>
      <c r="R17" s="24">
        <f>R15/(Предпосылки!$C$32*Предпосылки!$C$34*Предпосылки!$C$35)</f>
        <v>135938.18874999994</v>
      </c>
      <c r="S17" s="24">
        <f>S15/(Предпосылки!$C$32*Предпосылки!$C$34*Предпосылки!$C$35)</f>
        <v>137977.26158124994</v>
      </c>
      <c r="T17" s="24">
        <f>T15/(Предпосылки!$C$32*Предпосылки!$C$34*Предпосылки!$C$35)</f>
        <v>140046.9205049687</v>
      </c>
      <c r="U17" s="24">
        <f>U15/(Предпосылки!$C$32*Предпосылки!$C$34*Предпосылки!$C$35)</f>
        <v>71073.812156271597</v>
      </c>
      <c r="V17" s="24">
        <f>V15/(Предпосылки!$C$32*Предпосылки!$C$34*Предпосылки!$C$35)</f>
        <v>72139.919338615669</v>
      </c>
      <c r="W17" s="24">
        <f>W15/(Предпосылки!$C$32*Предпосылки!$C$34*Предпосылки!$C$35)</f>
        <v>73222.018128694894</v>
      </c>
      <c r="X17" s="24">
        <f>X15/(Предпосылки!$C$32*Предпосылки!$C$34*Предпосылки!$C$35)</f>
        <v>148640.69680125065</v>
      </c>
      <c r="Y17" s="24">
        <f>Y15/(Предпосылки!$C$32*Предпосылки!$C$34*Предпосылки!$C$35)</f>
        <v>150870.30725326939</v>
      </c>
      <c r="Z17" s="24">
        <f>Z15/(Предпосылки!$C$32*Предпосылки!$C$34*Предпосылки!$C$35)</f>
        <v>153133.36186206841</v>
      </c>
      <c r="AA17" s="24">
        <f>AA15/(Предпосылки!$C$32*Предпосылки!$C$34*Предпосылки!$C$35)</f>
        <v>155430.36228999941</v>
      </c>
      <c r="AB17" s="24">
        <f>AB15/(Предпосылки!$C$32*Предпосылки!$C$34*Предпосылки!$C$35)</f>
        <v>157761.81772434938</v>
      </c>
      <c r="AC17" s="24">
        <f>AC15/(Предпосылки!$C$32*Предпосылки!$C$34*Предпосылки!$C$35)</f>
        <v>160128.24499021462</v>
      </c>
      <c r="AD17" s="24">
        <f>AD15/(Предпосылки!$C$32*Предпосылки!$C$34*Предпосылки!$C$35)</f>
        <v>162530.16866506782</v>
      </c>
      <c r="AE17" s="24">
        <f>AE15/(Предпосылки!$C$32*Предпосылки!$C$34*Предпосылки!$C$35)</f>
        <v>164968.12119504382</v>
      </c>
      <c r="AF17" s="24">
        <f>AF15/(Предпосылки!$C$32*Предпосылки!$C$34*Предпосылки!$C$35)</f>
        <v>167442.64301296946</v>
      </c>
      <c r="AG17" s="24">
        <f>AG15/(Предпосылки!$C$32*Предпосылки!$C$34*Предпосылки!$C$35)</f>
        <v>84977.141329081991</v>
      </c>
      <c r="AH17" s="24">
        <f>AH15/(Предпосылки!$C$32*Предпосылки!$C$34*Предпосылки!$C$35)</f>
        <v>86251.798449018213</v>
      </c>
      <c r="AI17" s="24">
        <f>AI15/(Предпосылки!$C$32*Предпосылки!$C$34*Предпосылки!$C$35)</f>
        <v>87545.575425753472</v>
      </c>
      <c r="AJ17" s="24">
        <f>AJ15/(Предпосылки!$C$32*Предпосылки!$C$34*Предпосылки!$C$35)</f>
        <v>177717.51811427952</v>
      </c>
      <c r="AK17" s="24">
        <f>AK15/(Предпосылки!$C$32*Предпосылки!$C$34*Предпосылки!$C$35)</f>
        <v>180383.28088599371</v>
      </c>
      <c r="AL17" s="24">
        <f>AL15/(Предпосылки!$C$32*Предпосылки!$C$34*Предпосылки!$C$35)</f>
        <v>183089.03009928361</v>
      </c>
      <c r="AM17" s="24">
        <f>AM15/(Предпосылки!$C$32*Предпосылки!$C$34*Предпосылки!$C$35)</f>
        <v>185835.36555077287</v>
      </c>
      <c r="AN17" s="24">
        <f>AN15/(Предпосылки!$C$32*Предпосылки!$C$34*Предпосылки!$C$35)</f>
        <v>188622.89603403443</v>
      </c>
      <c r="AO17" s="24">
        <f>AO15/(Предпосылки!$C$32*Предпосылки!$C$34*Предпосылки!$C$35)</f>
        <v>191452.23947454491</v>
      </c>
      <c r="AP17" s="24">
        <f>AP15/(Предпосылки!$C$32*Предпосылки!$C$34*Предпосылки!$C$35)</f>
        <v>194324.02306666307</v>
      </c>
      <c r="AQ17" s="24">
        <f>AQ15/(Предпосылки!$C$32*Предпосылки!$C$34*Предпосылки!$C$35)</f>
        <v>197238.88341266301</v>
      </c>
      <c r="AR17" s="24">
        <f>AR15/(Предпосылки!$C$32*Предпосылки!$C$34*Предпосылки!$C$35)</f>
        <v>200197.46666385295</v>
      </c>
      <c r="AS17" s="24">
        <f>AS15/(Предпосылки!$C$32*Предпосылки!$C$34*Предпосылки!$C$35)</f>
        <v>101600.21433190536</v>
      </c>
      <c r="AT17" s="24">
        <f>AT15/(Предпосылки!$C$32*Предпосылки!$C$34*Предпосылки!$C$35)</f>
        <v>103124.21754688393</v>
      </c>
      <c r="AU17" s="24">
        <f>AU15/(Предпосылки!$C$32*Предпосылки!$C$34*Предпосылки!$C$35)</f>
        <v>104671.08081008718</v>
      </c>
      <c r="AV17" s="24">
        <f>AV15/(Предпосылки!$C$32*Предпосылки!$C$34*Предпосылки!$C$35)</f>
        <v>212482.29404447696</v>
      </c>
      <c r="AW17" s="24">
        <f>AW15/(Предпосылки!$C$32*Предпосылки!$C$34*Предпосылки!$C$35)</f>
        <v>215669.52845514411</v>
      </c>
      <c r="AX17" s="24">
        <f>AX15/(Предпосылки!$C$32*Предпосылки!$C$34*Предпосылки!$C$35)</f>
        <v>218904.57138197124</v>
      </c>
      <c r="AY17" s="24">
        <f>AY15/(Предпосылки!$C$32*Предпосылки!$C$34*Предпосылки!$C$35)</f>
        <v>222188.13995270079</v>
      </c>
    </row>
    <row r="18" spans="2:51" x14ac:dyDescent="0.35">
      <c r="B18" t="s">
        <v>100</v>
      </c>
      <c r="C18" t="s">
        <v>47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>
        <f>P16/(Предпосылки!$C$33*Предпосылки!$C$34*Предпосылки!$C$35)</f>
        <v>92364.999999999985</v>
      </c>
      <c r="Q18" s="24">
        <f>Q16/(Предпосылки!$C$33*Предпосылки!$C$34*Предпосылки!$C$35)</f>
        <v>93750.474999999962</v>
      </c>
      <c r="R18" s="24">
        <f>R16/(Предпосылки!$C$33*Предпосылки!$C$34*Предпосылки!$C$35)</f>
        <v>95156.73212499998</v>
      </c>
      <c r="S18" s="24">
        <f>S16/(Предпосылки!$C$33*Предпосылки!$C$34*Предпосылки!$C$35)</f>
        <v>96584.083106874969</v>
      </c>
      <c r="T18" s="24">
        <f>T16/(Предпосылки!$C$33*Предпосылки!$C$34*Предпосылки!$C$35)</f>
        <v>98032.844353478096</v>
      </c>
      <c r="U18" s="24">
        <f>U16/(Предпосылки!$C$33*Предпосылки!$C$34*Предпосылки!$C$35)</f>
        <v>49751.668509390125</v>
      </c>
      <c r="V18" s="24">
        <f>V16/(Предпосылки!$C$33*Предпосылки!$C$34*Предпосылки!$C$35)</f>
        <v>50497.943537030973</v>
      </c>
      <c r="W18" s="24">
        <f>W16/(Предпосылки!$C$33*Предпосылки!$C$34*Предпосылки!$C$35)</f>
        <v>51255.412690086436</v>
      </c>
      <c r="X18" s="24">
        <f>X16/(Предпосылки!$C$33*Предпосылки!$C$34*Предпосылки!$C$35)</f>
        <v>104048.48776087546</v>
      </c>
      <c r="Y18" s="24">
        <f>Y16/(Предпосылки!$C$33*Предпосылки!$C$34*Предпосылки!$C$35)</f>
        <v>105609.21507728858</v>
      </c>
      <c r="Z18" s="24">
        <f>Z16/(Предпосылки!$C$33*Предпосылки!$C$34*Предпосылки!$C$35)</f>
        <v>107193.35330344789</v>
      </c>
      <c r="AA18" s="24">
        <f>AA16/(Предпосылки!$C$33*Предпосылки!$C$34*Предпосылки!$C$35)</f>
        <v>108801.2536029996</v>
      </c>
      <c r="AB18" s="24">
        <f>AB16/(Предпосылки!$C$33*Предпосылки!$C$34*Предпосылки!$C$35)</f>
        <v>110433.27240704458</v>
      </c>
      <c r="AC18" s="24">
        <f>AC16/(Предпосылки!$C$33*Предпосылки!$C$34*Предпосылки!$C$35)</f>
        <v>112089.77149315023</v>
      </c>
      <c r="AD18" s="24">
        <f>AD16/(Предпосылки!$C$33*Предпосылки!$C$34*Предпосылки!$C$35)</f>
        <v>113771.11806554746</v>
      </c>
      <c r="AE18" s="24">
        <f>AE16/(Предпосылки!$C$33*Предпосылки!$C$34*Предпосылки!$C$35)</f>
        <v>115477.68483653067</v>
      </c>
      <c r="AF18" s="24">
        <f>AF16/(Предпосылки!$C$33*Предпосылки!$C$34*Предпосылки!$C$35)</f>
        <v>117209.85010907863</v>
      </c>
      <c r="AG18" s="24">
        <f>AG16/(Предпосылки!$C$33*Предпосылки!$C$34*Предпосылки!$C$35)</f>
        <v>59483.998930357397</v>
      </c>
      <c r="AH18" s="24">
        <f>AH16/(Предпосылки!$C$33*Предпосылки!$C$34*Предпосылки!$C$35)</f>
        <v>60376.258914312748</v>
      </c>
      <c r="AI18" s="24">
        <f>AI16/(Предпосылки!$C$33*Предпосылки!$C$34*Предпосылки!$C$35)</f>
        <v>61281.902798027433</v>
      </c>
      <c r="AJ18" s="24">
        <f>AJ16/(Предпосылки!$C$33*Предпосылки!$C$34*Предпосылки!$C$35)</f>
        <v>124402.26267999568</v>
      </c>
      <c r="AK18" s="24">
        <f>AK16/(Предпосылки!$C$33*Предпосылки!$C$34*Предпосылки!$C$35)</f>
        <v>126268.29662019562</v>
      </c>
      <c r="AL18" s="24">
        <f>AL16/(Предпосылки!$C$33*Предпосылки!$C$34*Предпосылки!$C$35)</f>
        <v>128162.32106949855</v>
      </c>
      <c r="AM18" s="24">
        <f>AM16/(Предпосылки!$C$33*Предпосылки!$C$34*Предпосылки!$C$35)</f>
        <v>130084.755885541</v>
      </c>
      <c r="AN18" s="24">
        <f>AN16/(Предпосылки!$C$33*Предпосылки!$C$34*Предпосылки!$C$35)</f>
        <v>132036.02722382412</v>
      </c>
      <c r="AO18" s="24">
        <f>AO16/(Предпосылки!$C$33*Предпосылки!$C$34*Предпосылки!$C$35)</f>
        <v>134016.56763218145</v>
      </c>
      <c r="AP18" s="24">
        <f>AP16/(Предпосылки!$C$33*Предпосылки!$C$34*Предпосылки!$C$35)</f>
        <v>136026.81614666418</v>
      </c>
      <c r="AQ18" s="24">
        <f>AQ16/(Предпосылки!$C$33*Предпосылки!$C$34*Предпосылки!$C$35)</f>
        <v>138067.21838886413</v>
      </c>
      <c r="AR18" s="24">
        <f>AR16/(Предпосылки!$C$33*Предпосылки!$C$34*Предпосылки!$C$35)</f>
        <v>140138.22666469708</v>
      </c>
      <c r="AS18" s="24">
        <f>AS16/(Предпосылки!$C$33*Предпосылки!$C$34*Предпосылки!$C$35)</f>
        <v>71120.150032333753</v>
      </c>
      <c r="AT18" s="24">
        <f>AT16/(Предпосылки!$C$33*Предпосылки!$C$34*Предпосылки!$C$35)</f>
        <v>72186.952282818747</v>
      </c>
      <c r="AU18" s="24">
        <f>AU16/(Предпосылки!$C$33*Предпосылки!$C$34*Предпосылки!$C$35)</f>
        <v>73269.75656706102</v>
      </c>
      <c r="AV18" s="24">
        <f>AV16/(Предпосылки!$C$33*Предпосылки!$C$34*Предпосылки!$C$35)</f>
        <v>148737.6058311339</v>
      </c>
      <c r="AW18" s="24">
        <f>AW16/(Предпосылки!$C$33*Предпосылки!$C$34*Предпосылки!$C$35)</f>
        <v>150968.66991860088</v>
      </c>
      <c r="AX18" s="24">
        <f>AX16/(Предпосылки!$C$33*Предпосылки!$C$34*Предпосылки!$C$35)</f>
        <v>153233.19996737989</v>
      </c>
      <c r="AY18" s="24">
        <f>AY16/(Предпосылки!$C$33*Предпосылки!$C$34*Предпосылки!$C$35)</f>
        <v>155531.69796689056</v>
      </c>
    </row>
    <row r="20" spans="2:51" x14ac:dyDescent="0.35">
      <c r="B20" s="20" t="s">
        <v>12</v>
      </c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</row>
    <row r="21" spans="2:51" x14ac:dyDescent="0.35">
      <c r="B21" t="s">
        <v>101</v>
      </c>
      <c r="C21" t="s">
        <v>14</v>
      </c>
      <c r="D21" s="25">
        <f>Предпосылки!$C$24</f>
        <v>2</v>
      </c>
      <c r="E21" s="25">
        <f>Предпосылки!$C$24</f>
        <v>2</v>
      </c>
      <c r="F21" s="25">
        <f>Предпосылки!$C$24</f>
        <v>2</v>
      </c>
      <c r="G21" s="25">
        <f>Предпосылки!$C$24</f>
        <v>2</v>
      </c>
      <c r="H21" s="25">
        <f>Предпосылки!$C$24</f>
        <v>2</v>
      </c>
      <c r="I21" s="25">
        <f>Предпосылки!$C$24</f>
        <v>2</v>
      </c>
      <c r="J21" s="25">
        <f>Предпосылки!$C$24</f>
        <v>2</v>
      </c>
      <c r="K21" s="25">
        <f>Предпосылки!$C$24</f>
        <v>2</v>
      </c>
      <c r="L21" s="25">
        <f>Предпосылки!$C$24</f>
        <v>2</v>
      </c>
      <c r="M21" s="25">
        <f>Предпосылки!$C$24</f>
        <v>2</v>
      </c>
      <c r="N21" s="25">
        <f>Предпосылки!$C$24</f>
        <v>2</v>
      </c>
      <c r="O21" s="25">
        <f>Предпосылки!$C$24</f>
        <v>2</v>
      </c>
      <c r="P21" s="25">
        <f>Предпосылки!$C$24</f>
        <v>2</v>
      </c>
      <c r="Q21" s="25">
        <f>IF(MOD(MONTH(Q$1)-Предпосылки!$C$28,Предпосылки!$C$27)=0,P21*(1+Предпосылки!$C$26),P21)</f>
        <v>2</v>
      </c>
      <c r="R21" s="25">
        <f>IF(MOD(MONTH(R$1)-Предпосылки!$C$28,Предпосылки!$C$27)=0,Q21*(1+Предпосылки!$C$26),Q21)</f>
        <v>2</v>
      </c>
      <c r="S21" s="25">
        <f>IF(MOD(MONTH(S$1)-Предпосылки!$C$28,Предпосылки!$C$27)=0,R21*(1+Предпосылки!$C$26),R21)</f>
        <v>2</v>
      </c>
      <c r="T21" s="25">
        <f>IF(MOD(MONTH(T$1)-Предпосылки!$C$28,Предпосылки!$C$27)=0,S21*(1+Предпосылки!$C$26),S21)</f>
        <v>2</v>
      </c>
      <c r="U21" s="25">
        <f>IF(MOD(MONTH(U$1)-Предпосылки!$C$28,Предпосылки!$C$27)=0,T21*(1+Предпосылки!$C$26),T21)</f>
        <v>2.1</v>
      </c>
      <c r="V21" s="25">
        <f>IF(MOD(MONTH(V$1)-Предпосылки!$C$28,Предпосылки!$C$27)=0,U21*(1+Предпосылки!$C$26),U21)</f>
        <v>2.1</v>
      </c>
      <c r="W21" s="25">
        <f>IF(MOD(MONTH(W$1)-Предпосылки!$C$28,Предпосылки!$C$27)=0,V21*(1+Предпосылки!$C$26),V21)</f>
        <v>2.1</v>
      </c>
      <c r="X21" s="25">
        <f>IF(MOD(MONTH(X$1)-Предпосылки!$C$28,Предпосылки!$C$27)=0,W21*(1+Предпосылки!$C$26),W21)</f>
        <v>2.1</v>
      </c>
      <c r="Y21" s="25">
        <f>IF(MOD(MONTH(Y$1)-Предпосылки!$C$28,Предпосылки!$C$27)=0,X21*(1+Предпосылки!$C$26),X21)</f>
        <v>2.1</v>
      </c>
      <c r="Z21" s="25">
        <f>IF(MOD(MONTH(Z$1)-Предпосылки!$C$28,Предпосылки!$C$27)=0,Y21*(1+Предпосылки!$C$26),Y21)</f>
        <v>2.1</v>
      </c>
      <c r="AA21" s="25">
        <f>IF(MOD(MONTH(AA$1)-Предпосылки!$C$28,Предпосылки!$C$27)=0,Z21*(1+Предпосылки!$C$26),Z21)</f>
        <v>2.1</v>
      </c>
      <c r="AB21" s="25">
        <f>IF(MOD(MONTH(AB$1)-Предпосылки!$C$28,Предпосылки!$C$27)=0,AA21*(1+Предпосылки!$C$26),AA21)</f>
        <v>2.1</v>
      </c>
      <c r="AC21" s="25">
        <f>IF(MOD(MONTH(AC$1)-Предпосылки!$C$28,Предпосылки!$C$27)=0,AB21*(1+Предпосылки!$C$26),AB21)</f>
        <v>2.1</v>
      </c>
      <c r="AD21" s="25">
        <f>IF(MOD(MONTH(AD$1)-Предпосылки!$C$28,Предпосылки!$C$27)=0,AC21*(1+Предпосылки!$C$26),AC21)</f>
        <v>2.1</v>
      </c>
      <c r="AE21" s="25">
        <f>IF(MOD(MONTH(AE$1)-Предпосылки!$C$28,Предпосылки!$C$27)=0,AD21*(1+Предпосылки!$C$26),AD21)</f>
        <v>2.1</v>
      </c>
      <c r="AF21" s="25">
        <f>IF(MOD(MONTH(AF$1)-Предпосылки!$C$28,Предпосылки!$C$27)=0,AE21*(1+Предпосылки!$C$26),AE21)</f>
        <v>2.1</v>
      </c>
      <c r="AG21" s="25">
        <f>IF(MOD(MONTH(AG$1)-Предпосылки!$C$28,Предпосылки!$C$27)=0,AF21*(1+Предпосылки!$C$26),AF21)</f>
        <v>2.2050000000000001</v>
      </c>
      <c r="AH21" s="25">
        <f>IF(MOD(MONTH(AH$1)-Предпосылки!$C$28,Предпосылки!$C$27)=0,AG21*(1+Предпосылки!$C$26),AG21)</f>
        <v>2.2050000000000001</v>
      </c>
      <c r="AI21" s="25">
        <f>IF(MOD(MONTH(AI$1)-Предпосылки!$C$28,Предпосылки!$C$27)=0,AH21*(1+Предпосылки!$C$26),AH21)</f>
        <v>2.2050000000000001</v>
      </c>
      <c r="AJ21" s="25">
        <f>IF(MOD(MONTH(AJ$1)-Предпосылки!$C$28,Предпосылки!$C$27)=0,AI21*(1+Предпосылки!$C$26),AI21)</f>
        <v>2.2050000000000001</v>
      </c>
      <c r="AK21" s="25">
        <f>IF(MOD(MONTH(AK$1)-Предпосылки!$C$28,Предпосылки!$C$27)=0,AJ21*(1+Предпосылки!$C$26),AJ21)</f>
        <v>2.2050000000000001</v>
      </c>
      <c r="AL21" s="25">
        <f>IF(MOD(MONTH(AL$1)-Предпосылки!$C$28,Предпосылки!$C$27)=0,AK21*(1+Предпосылки!$C$26),AK21)</f>
        <v>2.2050000000000001</v>
      </c>
      <c r="AM21" s="25">
        <f>IF(MOD(MONTH(AM$1)-Предпосылки!$C$28,Предпосылки!$C$27)=0,AL21*(1+Предпосылки!$C$26),AL21)</f>
        <v>2.2050000000000001</v>
      </c>
      <c r="AN21" s="25">
        <f>IF(MOD(MONTH(AN$1)-Предпосылки!$C$28,Предпосылки!$C$27)=0,AM21*(1+Предпосылки!$C$26),AM21)</f>
        <v>2.2050000000000001</v>
      </c>
      <c r="AO21" s="25">
        <f>IF(MOD(MONTH(AO$1)-Предпосылки!$C$28,Предпосылки!$C$27)=0,AN21*(1+Предпосылки!$C$26),AN21)</f>
        <v>2.2050000000000001</v>
      </c>
      <c r="AP21" s="25">
        <f>IF(MOD(MONTH(AP$1)-Предпосылки!$C$28,Предпосылки!$C$27)=0,AO21*(1+Предпосылки!$C$26),AO21)</f>
        <v>2.2050000000000001</v>
      </c>
      <c r="AQ21" s="25">
        <f>IF(MOD(MONTH(AQ$1)-Предпосылки!$C$28,Предпосылки!$C$27)=0,AP21*(1+Предпосылки!$C$26),AP21)</f>
        <v>2.2050000000000001</v>
      </c>
      <c r="AR21" s="25">
        <f>IF(MOD(MONTH(AR$1)-Предпосылки!$C$28,Предпосылки!$C$27)=0,AQ21*(1+Предпосылки!$C$26),AQ21)</f>
        <v>2.2050000000000001</v>
      </c>
      <c r="AS21" s="25">
        <f>IF(MOD(MONTH(AS$1)-Предпосылки!$C$28,Предпосылки!$C$27)=0,AR21*(1+Предпосылки!$C$26),AR21)</f>
        <v>2.3152500000000003</v>
      </c>
      <c r="AT21" s="25">
        <f>IF(MOD(MONTH(AT$1)-Предпосылки!$C$28,Предпосылки!$C$27)=0,AS21*(1+Предпосылки!$C$26),AS21)</f>
        <v>2.3152500000000003</v>
      </c>
      <c r="AU21" s="25">
        <f>IF(MOD(MONTH(AU$1)-Предпосылки!$C$28,Предпосылки!$C$27)=0,AT21*(1+Предпосылки!$C$26),AT21)</f>
        <v>2.3152500000000003</v>
      </c>
      <c r="AV21" s="25">
        <f>IF(MOD(MONTH(AV$1)-Предпосылки!$C$28,Предпосылки!$C$27)=0,AU21*(1+Предпосылки!$C$26),AU21)</f>
        <v>2.3152500000000003</v>
      </c>
      <c r="AW21" s="25">
        <f>IF(MOD(MONTH(AW$1)-Предпосылки!$C$28,Предпосылки!$C$27)=0,AV21*(1+Предпосылки!$C$26),AV21)</f>
        <v>2.3152500000000003</v>
      </c>
      <c r="AX21" s="25">
        <f>IF(MOD(MONTH(AX$1)-Предпосылки!$C$28,Предпосылки!$C$27)=0,AW21*(1+Предпосылки!$C$26),AW21)</f>
        <v>2.3152500000000003</v>
      </c>
      <c r="AY21" s="25">
        <f>IF(MOD(MONTH(AY$1)-Предпосылки!$C$28,Предпосылки!$C$27)=0,AX21*(1+Предпосылки!$C$26),AX21)</f>
        <v>2.3152500000000003</v>
      </c>
    </row>
    <row r="22" spans="2:51" x14ac:dyDescent="0.35">
      <c r="B22" t="s">
        <v>102</v>
      </c>
      <c r="C22" t="s">
        <v>14</v>
      </c>
      <c r="D22" s="25">
        <f>D21/(1+Предпосылки!$C$29)</f>
        <v>1.6666666666666667</v>
      </c>
      <c r="E22" s="25">
        <f>E21/(1+Предпосылки!$C$29)</f>
        <v>1.6666666666666667</v>
      </c>
      <c r="F22" s="25">
        <f>F21/(1+Предпосылки!$C$29)</f>
        <v>1.6666666666666667</v>
      </c>
      <c r="G22" s="25">
        <f>G21/(1+Предпосылки!$C$29)</f>
        <v>1.6666666666666667</v>
      </c>
      <c r="H22" s="25">
        <f>H21/(1+Предпосылки!$C$29)</f>
        <v>1.6666666666666667</v>
      </c>
      <c r="I22" s="25">
        <f>I21/(1+Предпосылки!$C$29)</f>
        <v>1.6666666666666667</v>
      </c>
      <c r="J22" s="25">
        <f>J21/(1+Предпосылки!$C$29)</f>
        <v>1.6666666666666667</v>
      </c>
      <c r="K22" s="25">
        <f>K21/(1+Предпосылки!$C$29)</f>
        <v>1.6666666666666667</v>
      </c>
      <c r="L22" s="25">
        <f>L21/(1+Предпосылки!$C$29)</f>
        <v>1.6666666666666667</v>
      </c>
      <c r="M22" s="25">
        <f>M21/(1+Предпосылки!$C$29)</f>
        <v>1.6666666666666667</v>
      </c>
      <c r="N22" s="25">
        <f>N21/(1+Предпосылки!$C$29)</f>
        <v>1.6666666666666667</v>
      </c>
      <c r="O22" s="25">
        <f>O21/(1+Предпосылки!$C$29)</f>
        <v>1.6666666666666667</v>
      </c>
      <c r="P22" s="25">
        <f>P21/(1+Предпосылки!$C$29)</f>
        <v>1.6666666666666667</v>
      </c>
      <c r="Q22" s="25">
        <f>Q21/(1+Предпосылки!$C$29)</f>
        <v>1.6666666666666667</v>
      </c>
      <c r="R22" s="25">
        <f>R21/(1+Предпосылки!$C$29)</f>
        <v>1.6666666666666667</v>
      </c>
      <c r="S22" s="25">
        <f>S21/(1+Предпосылки!$C$29)</f>
        <v>1.6666666666666667</v>
      </c>
      <c r="T22" s="25">
        <f>T21/(1+Предпосылки!$C$29)</f>
        <v>1.6666666666666667</v>
      </c>
      <c r="U22" s="25">
        <f>U21/(1+Предпосылки!$C$29)</f>
        <v>1.7500000000000002</v>
      </c>
      <c r="V22" s="25">
        <f>V21/(1+Предпосылки!$C$29)</f>
        <v>1.7500000000000002</v>
      </c>
      <c r="W22" s="25">
        <f>W21/(1+Предпосылки!$C$29)</f>
        <v>1.7500000000000002</v>
      </c>
      <c r="X22" s="25">
        <f>X21/(1+Предпосылки!$C$29)</f>
        <v>1.7500000000000002</v>
      </c>
      <c r="Y22" s="25">
        <f>Y21/(1+Предпосылки!$C$29)</f>
        <v>1.7500000000000002</v>
      </c>
      <c r="Z22" s="25">
        <f>Z21/(1+Предпосылки!$C$29)</f>
        <v>1.7500000000000002</v>
      </c>
      <c r="AA22" s="25">
        <f>AA21/(1+Предпосылки!$C$29)</f>
        <v>1.7500000000000002</v>
      </c>
      <c r="AB22" s="25">
        <f>AB21/(1+Предпосылки!$C$29)</f>
        <v>1.7500000000000002</v>
      </c>
      <c r="AC22" s="25">
        <f>AC21/(1+Предпосылки!$C$29)</f>
        <v>1.7500000000000002</v>
      </c>
      <c r="AD22" s="25">
        <f>AD21/(1+Предпосылки!$C$29)</f>
        <v>1.7500000000000002</v>
      </c>
      <c r="AE22" s="25">
        <f>AE21/(1+Предпосылки!$C$29)</f>
        <v>1.7500000000000002</v>
      </c>
      <c r="AF22" s="25">
        <f>AF21/(1+Предпосылки!$C$29)</f>
        <v>1.7500000000000002</v>
      </c>
      <c r="AG22" s="25">
        <f>AG21/(1+Предпосылки!$C$29)</f>
        <v>1.8375000000000001</v>
      </c>
      <c r="AH22" s="25">
        <f>AH21/(1+Предпосылки!$C$29)</f>
        <v>1.8375000000000001</v>
      </c>
      <c r="AI22" s="25">
        <f>AI21/(1+Предпосылки!$C$29)</f>
        <v>1.8375000000000001</v>
      </c>
      <c r="AJ22" s="25">
        <f>AJ21/(1+Предпосылки!$C$29)</f>
        <v>1.8375000000000001</v>
      </c>
      <c r="AK22" s="25">
        <f>AK21/(1+Предпосылки!$C$29)</f>
        <v>1.8375000000000001</v>
      </c>
      <c r="AL22" s="25">
        <f>AL21/(1+Предпосылки!$C$29)</f>
        <v>1.8375000000000001</v>
      </c>
      <c r="AM22" s="25">
        <f>AM21/(1+Предпосылки!$C$29)</f>
        <v>1.8375000000000001</v>
      </c>
      <c r="AN22" s="25">
        <f>AN21/(1+Предпосылки!$C$29)</f>
        <v>1.8375000000000001</v>
      </c>
      <c r="AO22" s="25">
        <f>AO21/(1+Предпосылки!$C$29)</f>
        <v>1.8375000000000001</v>
      </c>
      <c r="AP22" s="25">
        <f>AP21/(1+Предпосылки!$C$29)</f>
        <v>1.8375000000000001</v>
      </c>
      <c r="AQ22" s="25">
        <f>AQ21/(1+Предпосылки!$C$29)</f>
        <v>1.8375000000000001</v>
      </c>
      <c r="AR22" s="25">
        <f>AR21/(1+Предпосылки!$C$29)</f>
        <v>1.8375000000000001</v>
      </c>
      <c r="AS22" s="25">
        <f>AS21/(1+Предпосылки!$C$29)</f>
        <v>1.9293750000000003</v>
      </c>
      <c r="AT22" s="25">
        <f>AT21/(1+Предпосылки!$C$29)</f>
        <v>1.9293750000000003</v>
      </c>
      <c r="AU22" s="25">
        <f>AU21/(1+Предпосылки!$C$29)</f>
        <v>1.9293750000000003</v>
      </c>
      <c r="AV22" s="25">
        <f>AV21/(1+Предпосылки!$C$29)</f>
        <v>1.9293750000000003</v>
      </c>
      <c r="AW22" s="25">
        <f>AW21/(1+Предпосылки!$C$29)</f>
        <v>1.9293750000000003</v>
      </c>
      <c r="AX22" s="25">
        <f>AX21/(1+Предпосылки!$C$29)</f>
        <v>1.9293750000000003</v>
      </c>
      <c r="AY22" s="25">
        <f>AY21/(1+Предпосылки!$C$29)</f>
        <v>1.9293750000000003</v>
      </c>
    </row>
    <row r="23" spans="2:51" x14ac:dyDescent="0.35">
      <c r="B23" t="s">
        <v>103</v>
      </c>
      <c r="C23" t="s">
        <v>14</v>
      </c>
      <c r="D23" s="25">
        <f>Предпосылки!$C$25</f>
        <v>5</v>
      </c>
      <c r="E23" s="25">
        <f>Предпосылки!$C$25</f>
        <v>5</v>
      </c>
      <c r="F23" s="25">
        <f>Предпосылки!$C$25</f>
        <v>5</v>
      </c>
      <c r="G23" s="25">
        <f>Предпосылки!$C$25</f>
        <v>5</v>
      </c>
      <c r="H23" s="25">
        <f>Предпосылки!$C$25</f>
        <v>5</v>
      </c>
      <c r="I23" s="25">
        <f>Предпосылки!$C$25</f>
        <v>5</v>
      </c>
      <c r="J23" s="25">
        <f>Предпосылки!$C$25</f>
        <v>5</v>
      </c>
      <c r="K23" s="25">
        <f>Предпосылки!$C$25</f>
        <v>5</v>
      </c>
      <c r="L23" s="25">
        <f>Предпосылки!$C$25</f>
        <v>5</v>
      </c>
      <c r="M23" s="25">
        <f>Предпосылки!$C$25</f>
        <v>5</v>
      </c>
      <c r="N23" s="25">
        <f>Предпосылки!$C$25</f>
        <v>5</v>
      </c>
      <c r="O23" s="25">
        <f>Предпосылки!$C$25</f>
        <v>5</v>
      </c>
      <c r="P23" s="25">
        <f>Предпосылки!$C$25</f>
        <v>5</v>
      </c>
      <c r="Q23" s="25">
        <f>IF(MOD(MONTH(Q$1)-Предпосылки!$C$28,Предпосылки!$C$27)=0,P23*(1+Предпосылки!$C$26),P23)</f>
        <v>5</v>
      </c>
      <c r="R23" s="25">
        <f>IF(MOD(MONTH(R$1)-Предпосылки!$C$28,Предпосылки!$C$27)=0,Q23*(1+Предпосылки!$C$26),Q23)</f>
        <v>5</v>
      </c>
      <c r="S23" s="25">
        <f>IF(MOD(MONTH(S$1)-Предпосылки!$C$28,Предпосылки!$C$27)=0,R23*(1+Предпосылки!$C$26),R23)</f>
        <v>5</v>
      </c>
      <c r="T23" s="25">
        <f>IF(MOD(MONTH(T$1)-Предпосылки!$C$28,Предпосылки!$C$27)=0,S23*(1+Предпосылки!$C$26),S23)</f>
        <v>5</v>
      </c>
      <c r="U23" s="25">
        <f>IF(MOD(MONTH(U$1)-Предпосылки!$C$28,Предпосылки!$C$27)=0,T23*(1+Предпосылки!$C$26),T23)</f>
        <v>5.25</v>
      </c>
      <c r="V23" s="25">
        <f>IF(MOD(MONTH(V$1)-Предпосылки!$C$28,Предпосылки!$C$27)=0,U23*(1+Предпосылки!$C$26),U23)</f>
        <v>5.25</v>
      </c>
      <c r="W23" s="25">
        <f>IF(MOD(MONTH(W$1)-Предпосылки!$C$28,Предпосылки!$C$27)=0,V23*(1+Предпосылки!$C$26),V23)</f>
        <v>5.25</v>
      </c>
      <c r="X23" s="25">
        <f>IF(MOD(MONTH(X$1)-Предпосылки!$C$28,Предпосылки!$C$27)=0,W23*(1+Предпосылки!$C$26),W23)</f>
        <v>5.25</v>
      </c>
      <c r="Y23" s="25">
        <f>IF(MOD(MONTH(Y$1)-Предпосылки!$C$28,Предпосылки!$C$27)=0,X23*(1+Предпосылки!$C$26),X23)</f>
        <v>5.25</v>
      </c>
      <c r="Z23" s="25">
        <f>IF(MOD(MONTH(Z$1)-Предпосылки!$C$28,Предпосылки!$C$27)=0,Y23*(1+Предпосылки!$C$26),Y23)</f>
        <v>5.25</v>
      </c>
      <c r="AA23" s="25">
        <f>IF(MOD(MONTH(AA$1)-Предпосылки!$C$28,Предпосылки!$C$27)=0,Z23*(1+Предпосылки!$C$26),Z23)</f>
        <v>5.25</v>
      </c>
      <c r="AB23" s="25">
        <f>IF(MOD(MONTH(AB$1)-Предпосылки!$C$28,Предпосылки!$C$27)=0,AA23*(1+Предпосылки!$C$26),AA23)</f>
        <v>5.25</v>
      </c>
      <c r="AC23" s="25">
        <f>IF(MOD(MONTH(AC$1)-Предпосылки!$C$28,Предпосылки!$C$27)=0,AB23*(1+Предпосылки!$C$26),AB23)</f>
        <v>5.25</v>
      </c>
      <c r="AD23" s="25">
        <f>IF(MOD(MONTH(AD$1)-Предпосылки!$C$28,Предпосылки!$C$27)=0,AC23*(1+Предпосылки!$C$26),AC23)</f>
        <v>5.25</v>
      </c>
      <c r="AE23" s="25">
        <f>IF(MOD(MONTH(AE$1)-Предпосылки!$C$28,Предпосылки!$C$27)=0,AD23*(1+Предпосылки!$C$26),AD23)</f>
        <v>5.25</v>
      </c>
      <c r="AF23" s="25">
        <f>IF(MOD(MONTH(AF$1)-Предпосылки!$C$28,Предпосылки!$C$27)=0,AE23*(1+Предпосылки!$C$26),AE23)</f>
        <v>5.25</v>
      </c>
      <c r="AG23" s="25">
        <f>IF(MOD(MONTH(AG$1)-Предпосылки!$C$28,Предпосылки!$C$27)=0,AF23*(1+Предпосылки!$C$26),AF23)</f>
        <v>5.5125000000000002</v>
      </c>
      <c r="AH23" s="25">
        <f>IF(MOD(MONTH(AH$1)-Предпосылки!$C$28,Предпосылки!$C$27)=0,AG23*(1+Предпосылки!$C$26),AG23)</f>
        <v>5.5125000000000002</v>
      </c>
      <c r="AI23" s="25">
        <f>IF(MOD(MONTH(AI$1)-Предпосылки!$C$28,Предпосылки!$C$27)=0,AH23*(1+Предпосылки!$C$26),AH23)</f>
        <v>5.5125000000000002</v>
      </c>
      <c r="AJ23" s="25">
        <f>IF(MOD(MONTH(AJ$1)-Предпосылки!$C$28,Предпосылки!$C$27)=0,AI23*(1+Предпосылки!$C$26),AI23)</f>
        <v>5.5125000000000002</v>
      </c>
      <c r="AK23" s="25">
        <f>IF(MOD(MONTH(AK$1)-Предпосылки!$C$28,Предпосылки!$C$27)=0,AJ23*(1+Предпосылки!$C$26),AJ23)</f>
        <v>5.5125000000000002</v>
      </c>
      <c r="AL23" s="25">
        <f>IF(MOD(MONTH(AL$1)-Предпосылки!$C$28,Предпосылки!$C$27)=0,AK23*(1+Предпосылки!$C$26),AK23)</f>
        <v>5.5125000000000002</v>
      </c>
      <c r="AM23" s="25">
        <f>IF(MOD(MONTH(AM$1)-Предпосылки!$C$28,Предпосылки!$C$27)=0,AL23*(1+Предпосылки!$C$26),AL23)</f>
        <v>5.5125000000000002</v>
      </c>
      <c r="AN23" s="25">
        <f>IF(MOD(MONTH(AN$1)-Предпосылки!$C$28,Предпосылки!$C$27)=0,AM23*(1+Предпосылки!$C$26),AM23)</f>
        <v>5.5125000000000002</v>
      </c>
      <c r="AO23" s="25">
        <f>IF(MOD(MONTH(AO$1)-Предпосылки!$C$28,Предпосылки!$C$27)=0,AN23*(1+Предпосылки!$C$26),AN23)</f>
        <v>5.5125000000000002</v>
      </c>
      <c r="AP23" s="25">
        <f>IF(MOD(MONTH(AP$1)-Предпосылки!$C$28,Предпосылки!$C$27)=0,AO23*(1+Предпосылки!$C$26),AO23)</f>
        <v>5.5125000000000002</v>
      </c>
      <c r="AQ23" s="25">
        <f>IF(MOD(MONTH(AQ$1)-Предпосылки!$C$28,Предпосылки!$C$27)=0,AP23*(1+Предпосылки!$C$26),AP23)</f>
        <v>5.5125000000000002</v>
      </c>
      <c r="AR23" s="25">
        <f>IF(MOD(MONTH(AR$1)-Предпосылки!$C$28,Предпосылки!$C$27)=0,AQ23*(1+Предпосылки!$C$26),AQ23)</f>
        <v>5.5125000000000002</v>
      </c>
      <c r="AS23" s="25">
        <f>IF(MOD(MONTH(AS$1)-Предпосылки!$C$28,Предпосылки!$C$27)=0,AR23*(1+Предпосылки!$C$26),AR23)</f>
        <v>5.7881250000000009</v>
      </c>
      <c r="AT23" s="25">
        <f>IF(MOD(MONTH(AT$1)-Предпосылки!$C$28,Предпосылки!$C$27)=0,AS23*(1+Предпосылки!$C$26),AS23)</f>
        <v>5.7881250000000009</v>
      </c>
      <c r="AU23" s="25">
        <f>IF(MOD(MONTH(AU$1)-Предпосылки!$C$28,Предпосылки!$C$27)=0,AT23*(1+Предпосылки!$C$26),AT23)</f>
        <v>5.7881250000000009</v>
      </c>
      <c r="AV23" s="25">
        <f>IF(MOD(MONTH(AV$1)-Предпосылки!$C$28,Предпосылки!$C$27)=0,AU23*(1+Предпосылки!$C$26),AU23)</f>
        <v>5.7881250000000009</v>
      </c>
      <c r="AW23" s="25">
        <f>IF(MOD(MONTH(AW$1)-Предпосылки!$C$28,Предпосылки!$C$27)=0,AV23*(1+Предпосылки!$C$26),AV23)</f>
        <v>5.7881250000000009</v>
      </c>
      <c r="AX23" s="25">
        <f>IF(MOD(MONTH(AX$1)-Предпосылки!$C$28,Предпосылки!$C$27)=0,AW23*(1+Предпосылки!$C$26),AW23)</f>
        <v>5.7881250000000009</v>
      </c>
      <c r="AY23" s="25">
        <f>IF(MOD(MONTH(AY$1)-Предпосылки!$C$28,Предпосылки!$C$27)=0,AX23*(1+Предпосылки!$C$26),AX23)</f>
        <v>5.7881250000000009</v>
      </c>
    </row>
    <row r="24" spans="2:51" x14ac:dyDescent="0.35">
      <c r="B24" t="s">
        <v>104</v>
      </c>
      <c r="C24" t="s">
        <v>14</v>
      </c>
      <c r="D24" s="25">
        <f>D23/(1+Предпосылки!$C$29)</f>
        <v>4.166666666666667</v>
      </c>
      <c r="E24" s="25">
        <f>E23/(1+Предпосылки!$C$29)</f>
        <v>4.166666666666667</v>
      </c>
      <c r="F24" s="25">
        <f>F23/(1+Предпосылки!$C$29)</f>
        <v>4.166666666666667</v>
      </c>
      <c r="G24" s="25">
        <f>G23/(1+Предпосылки!$C$29)</f>
        <v>4.166666666666667</v>
      </c>
      <c r="H24" s="25">
        <f>H23/(1+Предпосылки!$C$29)</f>
        <v>4.166666666666667</v>
      </c>
      <c r="I24" s="25">
        <f>I23/(1+Предпосылки!$C$29)</f>
        <v>4.166666666666667</v>
      </c>
      <c r="J24" s="25">
        <f>J23/(1+Предпосылки!$C$29)</f>
        <v>4.166666666666667</v>
      </c>
      <c r="K24" s="25">
        <f>K23/(1+Предпосылки!$C$29)</f>
        <v>4.166666666666667</v>
      </c>
      <c r="L24" s="25">
        <f>L23/(1+Предпосылки!$C$29)</f>
        <v>4.166666666666667</v>
      </c>
      <c r="M24" s="25">
        <f>M23/(1+Предпосылки!$C$29)</f>
        <v>4.166666666666667</v>
      </c>
      <c r="N24" s="25">
        <f>N23/(1+Предпосылки!$C$29)</f>
        <v>4.166666666666667</v>
      </c>
      <c r="O24" s="25">
        <f>O23/(1+Предпосылки!$C$29)</f>
        <v>4.166666666666667</v>
      </c>
      <c r="P24" s="25">
        <f>P23/(1+Предпосылки!$C$29)</f>
        <v>4.166666666666667</v>
      </c>
      <c r="Q24" s="25">
        <f>Q23/(1+Предпосылки!$C$29)</f>
        <v>4.166666666666667</v>
      </c>
      <c r="R24" s="25">
        <f>R23/(1+Предпосылки!$C$29)</f>
        <v>4.166666666666667</v>
      </c>
      <c r="S24" s="25">
        <f>S23/(1+Предпосылки!$C$29)</f>
        <v>4.166666666666667</v>
      </c>
      <c r="T24" s="25">
        <f>T23/(1+Предпосылки!$C$29)</f>
        <v>4.166666666666667</v>
      </c>
      <c r="U24" s="25">
        <f>U23/(1+Предпосылки!$C$29)</f>
        <v>4.375</v>
      </c>
      <c r="V24" s="25">
        <f>V23/(1+Предпосылки!$C$29)</f>
        <v>4.375</v>
      </c>
      <c r="W24" s="25">
        <f>W23/(1+Предпосылки!$C$29)</f>
        <v>4.375</v>
      </c>
      <c r="X24" s="25">
        <f>X23/(1+Предпосылки!$C$29)</f>
        <v>4.375</v>
      </c>
      <c r="Y24" s="25">
        <f>Y23/(1+Предпосылки!$C$29)</f>
        <v>4.375</v>
      </c>
      <c r="Z24" s="25">
        <f>Z23/(1+Предпосылки!$C$29)</f>
        <v>4.375</v>
      </c>
      <c r="AA24" s="25">
        <f>AA23/(1+Предпосылки!$C$29)</f>
        <v>4.375</v>
      </c>
      <c r="AB24" s="25">
        <f>AB23/(1+Предпосылки!$C$29)</f>
        <v>4.375</v>
      </c>
      <c r="AC24" s="25">
        <f>AC23/(1+Предпосылки!$C$29)</f>
        <v>4.375</v>
      </c>
      <c r="AD24" s="25">
        <f>AD23/(1+Предпосылки!$C$29)</f>
        <v>4.375</v>
      </c>
      <c r="AE24" s="25">
        <f>AE23/(1+Предпосылки!$C$29)</f>
        <v>4.375</v>
      </c>
      <c r="AF24" s="25">
        <f>AF23/(1+Предпосылки!$C$29)</f>
        <v>4.375</v>
      </c>
      <c r="AG24" s="25">
        <f>AG23/(1+Предпосылки!$C$29)</f>
        <v>4.59375</v>
      </c>
      <c r="AH24" s="25">
        <f>AH23/(1+Предпосылки!$C$29)</f>
        <v>4.59375</v>
      </c>
      <c r="AI24" s="25">
        <f>AI23/(1+Предпосылки!$C$29)</f>
        <v>4.59375</v>
      </c>
      <c r="AJ24" s="25">
        <f>AJ23/(1+Предпосылки!$C$29)</f>
        <v>4.59375</v>
      </c>
      <c r="AK24" s="25">
        <f>AK23/(1+Предпосылки!$C$29)</f>
        <v>4.59375</v>
      </c>
      <c r="AL24" s="25">
        <f>AL23/(1+Предпосылки!$C$29)</f>
        <v>4.59375</v>
      </c>
      <c r="AM24" s="25">
        <f>AM23/(1+Предпосылки!$C$29)</f>
        <v>4.59375</v>
      </c>
      <c r="AN24" s="25">
        <f>AN23/(1+Предпосылки!$C$29)</f>
        <v>4.59375</v>
      </c>
      <c r="AO24" s="25">
        <f>AO23/(1+Предпосылки!$C$29)</f>
        <v>4.59375</v>
      </c>
      <c r="AP24" s="25">
        <f>AP23/(1+Предпосылки!$C$29)</f>
        <v>4.59375</v>
      </c>
      <c r="AQ24" s="25">
        <f>AQ23/(1+Предпосылки!$C$29)</f>
        <v>4.59375</v>
      </c>
      <c r="AR24" s="25">
        <f>AR23/(1+Предпосылки!$C$29)</f>
        <v>4.59375</v>
      </c>
      <c r="AS24" s="25">
        <f>AS23/(1+Предпосылки!$C$29)</f>
        <v>4.8234375000000007</v>
      </c>
      <c r="AT24" s="25">
        <f>AT23/(1+Предпосылки!$C$29)</f>
        <v>4.8234375000000007</v>
      </c>
      <c r="AU24" s="25">
        <f>AU23/(1+Предпосылки!$C$29)</f>
        <v>4.8234375000000007</v>
      </c>
      <c r="AV24" s="25">
        <f>AV23/(1+Предпосылки!$C$29)</f>
        <v>4.8234375000000007</v>
      </c>
      <c r="AW24" s="25">
        <f>AW23/(1+Предпосылки!$C$29)</f>
        <v>4.8234375000000007</v>
      </c>
      <c r="AX24" s="25">
        <f>AX23/(1+Предпосылки!$C$29)</f>
        <v>4.8234375000000007</v>
      </c>
      <c r="AY24" s="25">
        <f>AY23/(1+Предпосылки!$C$29)</f>
        <v>4.8234375000000007</v>
      </c>
    </row>
    <row r="26" spans="2:51" x14ac:dyDescent="0.35">
      <c r="B26" s="20" t="s">
        <v>105</v>
      </c>
      <c r="C26" s="20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</row>
    <row r="27" spans="2:51" x14ac:dyDescent="0.35">
      <c r="B27" t="s">
        <v>106</v>
      </c>
      <c r="C27" t="s">
        <v>14</v>
      </c>
      <c r="D27" s="22">
        <f t="shared" ref="D27:AY27" si="6">D7*2*D21</f>
        <v>280</v>
      </c>
      <c r="E27" s="22">
        <f t="shared" si="6"/>
        <v>280</v>
      </c>
      <c r="F27" s="22">
        <f t="shared" si="6"/>
        <v>280</v>
      </c>
      <c r="G27" s="22">
        <f t="shared" si="6"/>
        <v>280</v>
      </c>
      <c r="H27" s="22">
        <f t="shared" si="6"/>
        <v>280</v>
      </c>
      <c r="I27" s="22">
        <f t="shared" si="6"/>
        <v>140</v>
      </c>
      <c r="J27" s="22">
        <f t="shared" si="6"/>
        <v>140</v>
      </c>
      <c r="K27" s="22">
        <f t="shared" si="6"/>
        <v>140</v>
      </c>
      <c r="L27" s="22">
        <f t="shared" si="6"/>
        <v>280</v>
      </c>
      <c r="M27" s="22">
        <f t="shared" si="6"/>
        <v>308</v>
      </c>
      <c r="N27" s="22">
        <f t="shared" si="6"/>
        <v>336</v>
      </c>
      <c r="O27" s="22">
        <f t="shared" si="6"/>
        <v>364</v>
      </c>
      <c r="P27" s="22">
        <f t="shared" si="6"/>
        <v>369.45999999999992</v>
      </c>
      <c r="Q27" s="22">
        <f t="shared" si="6"/>
        <v>375.00189999999986</v>
      </c>
      <c r="R27" s="22">
        <f t="shared" si="6"/>
        <v>380.62692849999991</v>
      </c>
      <c r="S27" s="22">
        <f t="shared" si="6"/>
        <v>386.33633242749988</v>
      </c>
      <c r="T27" s="22">
        <f t="shared" si="6"/>
        <v>392.13137741391239</v>
      </c>
      <c r="U27" s="22">
        <f t="shared" si="6"/>
        <v>208.95700773943855</v>
      </c>
      <c r="V27" s="22">
        <f t="shared" si="6"/>
        <v>212.09136285553012</v>
      </c>
      <c r="W27" s="22">
        <f t="shared" si="6"/>
        <v>215.27273329836305</v>
      </c>
      <c r="X27" s="22">
        <f t="shared" si="6"/>
        <v>437.00364859567696</v>
      </c>
      <c r="Y27" s="22">
        <f t="shared" si="6"/>
        <v>443.55870332461205</v>
      </c>
      <c r="Z27" s="22">
        <f t="shared" si="6"/>
        <v>450.21208387448115</v>
      </c>
      <c r="AA27" s="22">
        <f t="shared" si="6"/>
        <v>456.96526513259829</v>
      </c>
      <c r="AB27" s="22">
        <f t="shared" si="6"/>
        <v>463.81974410958725</v>
      </c>
      <c r="AC27" s="22">
        <f t="shared" si="6"/>
        <v>470.77704027123099</v>
      </c>
      <c r="AD27" s="22">
        <f t="shared" si="6"/>
        <v>477.83869587529938</v>
      </c>
      <c r="AE27" s="22">
        <f t="shared" si="6"/>
        <v>485.00627631342883</v>
      </c>
      <c r="AF27" s="22">
        <f t="shared" si="6"/>
        <v>492.28137045813025</v>
      </c>
      <c r="AG27" s="22">
        <f t="shared" si="6"/>
        <v>262.3244352828761</v>
      </c>
      <c r="AH27" s="22">
        <f t="shared" si="6"/>
        <v>266.25930181211925</v>
      </c>
      <c r="AI27" s="22">
        <f t="shared" si="6"/>
        <v>270.253191339301</v>
      </c>
      <c r="AJ27" s="22">
        <f t="shared" si="6"/>
        <v>548.61397841878102</v>
      </c>
      <c r="AK27" s="22">
        <f t="shared" si="6"/>
        <v>556.84318809506271</v>
      </c>
      <c r="AL27" s="22">
        <f t="shared" si="6"/>
        <v>565.19583591648859</v>
      </c>
      <c r="AM27" s="22">
        <f t="shared" si="6"/>
        <v>573.67377345523585</v>
      </c>
      <c r="AN27" s="22">
        <f t="shared" si="6"/>
        <v>582.27888005706438</v>
      </c>
      <c r="AO27" s="22">
        <f t="shared" si="6"/>
        <v>591.01306325792018</v>
      </c>
      <c r="AP27" s="22">
        <f t="shared" si="6"/>
        <v>599.87825920678904</v>
      </c>
      <c r="AQ27" s="22">
        <f t="shared" si="6"/>
        <v>608.87643309489079</v>
      </c>
      <c r="AR27" s="22">
        <f t="shared" si="6"/>
        <v>618.00957959131415</v>
      </c>
      <c r="AS27" s="22">
        <f t="shared" si="6"/>
        <v>329.3218547247215</v>
      </c>
      <c r="AT27" s="22">
        <f t="shared" si="6"/>
        <v>334.26168254559224</v>
      </c>
      <c r="AU27" s="22">
        <f t="shared" si="6"/>
        <v>339.27560778377608</v>
      </c>
      <c r="AV27" s="22">
        <f t="shared" si="6"/>
        <v>688.72948380106561</v>
      </c>
      <c r="AW27" s="22">
        <f t="shared" si="6"/>
        <v>699.06042605808148</v>
      </c>
      <c r="AX27" s="22">
        <f t="shared" si="6"/>
        <v>709.54633244895263</v>
      </c>
      <c r="AY27" s="22">
        <f t="shared" si="6"/>
        <v>720.18952743568684</v>
      </c>
    </row>
    <row r="28" spans="2:51" x14ac:dyDescent="0.35">
      <c r="B28" t="s">
        <v>107</v>
      </c>
      <c r="C28" t="s">
        <v>14</v>
      </c>
      <c r="D28" s="22">
        <f t="shared" ref="D28:AY28" si="7">D11*D23</f>
        <v>150</v>
      </c>
      <c r="E28" s="22">
        <f t="shared" si="7"/>
        <v>300</v>
      </c>
      <c r="F28" s="22">
        <f t="shared" si="7"/>
        <v>450</v>
      </c>
      <c r="G28" s="22">
        <f t="shared" si="7"/>
        <v>600</v>
      </c>
      <c r="H28" s="22">
        <f t="shared" si="7"/>
        <v>750</v>
      </c>
      <c r="I28" s="22">
        <f t="shared" si="7"/>
        <v>412.5</v>
      </c>
      <c r="J28" s="22">
        <f t="shared" si="7"/>
        <v>450</v>
      </c>
      <c r="K28" s="22">
        <f t="shared" si="7"/>
        <v>487.5</v>
      </c>
      <c r="L28" s="22">
        <f t="shared" si="7"/>
        <v>1125</v>
      </c>
      <c r="M28" s="22">
        <f t="shared" si="7"/>
        <v>1290</v>
      </c>
      <c r="N28" s="22">
        <f t="shared" si="7"/>
        <v>1470</v>
      </c>
      <c r="O28" s="22">
        <f t="shared" si="7"/>
        <v>1665</v>
      </c>
      <c r="P28" s="22">
        <f t="shared" si="7"/>
        <v>1712.9250000000002</v>
      </c>
      <c r="Q28" s="22">
        <f t="shared" si="7"/>
        <v>1763.8188749999999</v>
      </c>
      <c r="R28" s="22">
        <f t="shared" si="7"/>
        <v>1817.726158125</v>
      </c>
      <c r="S28" s="22">
        <f t="shared" si="7"/>
        <v>1874.692050496875</v>
      </c>
      <c r="T28" s="22">
        <f t="shared" si="7"/>
        <v>1934.762431254328</v>
      </c>
      <c r="U28" s="22">
        <f t="shared" si="7"/>
        <v>1032.3459034815862</v>
      </c>
      <c r="V28" s="22">
        <f t="shared" si="7"/>
        <v>1049.7810899607459</v>
      </c>
      <c r="W28" s="22">
        <f t="shared" si="7"/>
        <v>1068.0684292370934</v>
      </c>
      <c r="X28" s="22">
        <f t="shared" si="7"/>
        <v>2212.7459559361564</v>
      </c>
      <c r="Y28" s="22">
        <f t="shared" si="7"/>
        <v>2277.1166898600559</v>
      </c>
      <c r="Z28" s="22">
        <f t="shared" si="7"/>
        <v>2329.3017347928135</v>
      </c>
      <c r="AA28" s="22">
        <f t="shared" si="7"/>
        <v>2369.3545553995627</v>
      </c>
      <c r="AB28" s="22">
        <f t="shared" si="7"/>
        <v>2410.0081683154126</v>
      </c>
      <c r="AC28" s="22">
        <f t="shared" si="7"/>
        <v>2451.2715854250005</v>
      </c>
      <c r="AD28" s="22">
        <f t="shared" si="7"/>
        <v>2493.1539537912331</v>
      </c>
      <c r="AE28" s="22">
        <f t="shared" si="7"/>
        <v>2535.6645576829587</v>
      </c>
      <c r="AF28" s="22">
        <f t="shared" si="7"/>
        <v>2578.8128206330593</v>
      </c>
      <c r="AG28" s="22">
        <f t="shared" si="7"/>
        <v>1365.3730461421239</v>
      </c>
      <c r="AH28" s="22">
        <f t="shared" si="7"/>
        <v>1377.0418061815383</v>
      </c>
      <c r="AI28" s="22">
        <f t="shared" si="7"/>
        <v>1388.8855976215434</v>
      </c>
      <c r="AJ28" s="22">
        <f t="shared" si="7"/>
        <v>2825.8569884895078</v>
      </c>
      <c r="AK28" s="22">
        <f t="shared" si="7"/>
        <v>2874.6640686346263</v>
      </c>
      <c r="AL28" s="22">
        <f t="shared" si="7"/>
        <v>2924.2032549819205</v>
      </c>
      <c r="AM28" s="22">
        <f t="shared" si="7"/>
        <v>2974.4855291244244</v>
      </c>
      <c r="AN28" s="22">
        <f t="shared" si="7"/>
        <v>3025.5220373790667</v>
      </c>
      <c r="AO28" s="22">
        <f t="shared" si="7"/>
        <v>3077.3240932575277</v>
      </c>
      <c r="AP28" s="22">
        <f t="shared" si="7"/>
        <v>3129.9031799741656</v>
      </c>
      <c r="AQ28" s="22">
        <f t="shared" si="7"/>
        <v>3183.2709529915537</v>
      </c>
      <c r="AR28" s="22">
        <f t="shared" si="7"/>
        <v>3237.4392426042023</v>
      </c>
      <c r="AS28" s="22">
        <f t="shared" si="7"/>
        <v>1714.0880660308762</v>
      </c>
      <c r="AT28" s="22">
        <f t="shared" si="7"/>
        <v>1728.7370166495016</v>
      </c>
      <c r="AU28" s="22">
        <f t="shared" si="7"/>
        <v>1743.6057015274059</v>
      </c>
      <c r="AV28" s="22">
        <f t="shared" si="7"/>
        <v>3547.5782636591039</v>
      </c>
      <c r="AW28" s="22">
        <f t="shared" si="7"/>
        <v>3608.8506271724609</v>
      </c>
      <c r="AX28" s="22">
        <f t="shared" si="7"/>
        <v>3671.0420761385176</v>
      </c>
      <c r="AY28" s="22">
        <f t="shared" si="7"/>
        <v>3734.1663968390653</v>
      </c>
    </row>
    <row r="29" spans="2:51" x14ac:dyDescent="0.35">
      <c r="B29" s="1" t="s">
        <v>108</v>
      </c>
      <c r="C29" s="1" t="s">
        <v>14</v>
      </c>
      <c r="D29" s="26">
        <f t="shared" ref="D29:AY29" si="8">SUM(D27:D28)</f>
        <v>430</v>
      </c>
      <c r="E29" s="26">
        <f t="shared" si="8"/>
        <v>580</v>
      </c>
      <c r="F29" s="26">
        <f t="shared" si="8"/>
        <v>730</v>
      </c>
      <c r="G29" s="26">
        <f t="shared" si="8"/>
        <v>880</v>
      </c>
      <c r="H29" s="26">
        <f t="shared" si="8"/>
        <v>1030</v>
      </c>
      <c r="I29" s="26">
        <f t="shared" si="8"/>
        <v>552.5</v>
      </c>
      <c r="J29" s="26">
        <f t="shared" si="8"/>
        <v>590</v>
      </c>
      <c r="K29" s="26">
        <f t="shared" si="8"/>
        <v>627.5</v>
      </c>
      <c r="L29" s="26">
        <f t="shared" si="8"/>
        <v>1405</v>
      </c>
      <c r="M29" s="26">
        <f t="shared" si="8"/>
        <v>1598</v>
      </c>
      <c r="N29" s="26">
        <f t="shared" si="8"/>
        <v>1806</v>
      </c>
      <c r="O29" s="26">
        <f t="shared" si="8"/>
        <v>2029</v>
      </c>
      <c r="P29" s="26">
        <f t="shared" si="8"/>
        <v>2082.3850000000002</v>
      </c>
      <c r="Q29" s="26">
        <f t="shared" si="8"/>
        <v>2138.8207749999997</v>
      </c>
      <c r="R29" s="26">
        <f t="shared" si="8"/>
        <v>2198.3530866249998</v>
      </c>
      <c r="S29" s="26">
        <f t="shared" si="8"/>
        <v>2261.0283829243749</v>
      </c>
      <c r="T29" s="26">
        <f t="shared" si="8"/>
        <v>2326.8938086682406</v>
      </c>
      <c r="U29" s="26">
        <f t="shared" si="8"/>
        <v>1241.3029112210247</v>
      </c>
      <c r="V29" s="26">
        <f t="shared" si="8"/>
        <v>1261.8724528162761</v>
      </c>
      <c r="W29" s="26">
        <f t="shared" si="8"/>
        <v>1283.3411625354565</v>
      </c>
      <c r="X29" s="26">
        <f t="shared" si="8"/>
        <v>2649.7496045318335</v>
      </c>
      <c r="Y29" s="26">
        <f t="shared" si="8"/>
        <v>2720.6753931846679</v>
      </c>
      <c r="Z29" s="26">
        <f t="shared" si="8"/>
        <v>2779.5138186672948</v>
      </c>
      <c r="AA29" s="26">
        <f t="shared" si="8"/>
        <v>2826.319820532161</v>
      </c>
      <c r="AB29" s="26">
        <f t="shared" si="8"/>
        <v>2873.8279124249998</v>
      </c>
      <c r="AC29" s="26">
        <f t="shared" si="8"/>
        <v>2922.0486256962313</v>
      </c>
      <c r="AD29" s="26">
        <f t="shared" si="8"/>
        <v>2970.9926496665325</v>
      </c>
      <c r="AE29" s="26">
        <f t="shared" si="8"/>
        <v>3020.6708339963875</v>
      </c>
      <c r="AF29" s="26">
        <f t="shared" si="8"/>
        <v>3071.0941910911897</v>
      </c>
      <c r="AG29" s="26">
        <f t="shared" si="8"/>
        <v>1627.697481425</v>
      </c>
      <c r="AH29" s="26">
        <f t="shared" si="8"/>
        <v>1643.3011079936575</v>
      </c>
      <c r="AI29" s="26">
        <f t="shared" si="8"/>
        <v>1659.1387889608445</v>
      </c>
      <c r="AJ29" s="26">
        <f t="shared" si="8"/>
        <v>3374.4709669082886</v>
      </c>
      <c r="AK29" s="26">
        <f t="shared" si="8"/>
        <v>3431.5072567296893</v>
      </c>
      <c r="AL29" s="26">
        <f t="shared" si="8"/>
        <v>3489.3990908984092</v>
      </c>
      <c r="AM29" s="26">
        <f t="shared" si="8"/>
        <v>3548.1593025796601</v>
      </c>
      <c r="AN29" s="26">
        <f t="shared" si="8"/>
        <v>3607.8009174361309</v>
      </c>
      <c r="AO29" s="26">
        <f t="shared" si="8"/>
        <v>3668.337156515448</v>
      </c>
      <c r="AP29" s="26">
        <f t="shared" si="8"/>
        <v>3729.7814391809547</v>
      </c>
      <c r="AQ29" s="26">
        <f t="shared" si="8"/>
        <v>3792.1473860864444</v>
      </c>
      <c r="AR29" s="26">
        <f t="shared" si="8"/>
        <v>3855.4488221955162</v>
      </c>
      <c r="AS29" s="26">
        <f t="shared" si="8"/>
        <v>2043.4099207555978</v>
      </c>
      <c r="AT29" s="26">
        <f t="shared" si="8"/>
        <v>2062.9986991950936</v>
      </c>
      <c r="AU29" s="26">
        <f t="shared" si="8"/>
        <v>2082.8813093111821</v>
      </c>
      <c r="AV29" s="26">
        <f t="shared" si="8"/>
        <v>4236.3077474601696</v>
      </c>
      <c r="AW29" s="26">
        <f t="shared" si="8"/>
        <v>4307.9110532305422</v>
      </c>
      <c r="AX29" s="26">
        <f t="shared" si="8"/>
        <v>4380.5884085874704</v>
      </c>
      <c r="AY29" s="26">
        <f t="shared" si="8"/>
        <v>4454.3559242747524</v>
      </c>
    </row>
    <row r="30" spans="2:51" x14ac:dyDescent="0.35">
      <c r="B30" s="1" t="s">
        <v>109</v>
      </c>
      <c r="C30" s="1" t="s">
        <v>14</v>
      </c>
      <c r="D30" s="26">
        <f>D29/(1+Предпосылки!$C$29)</f>
        <v>358.33333333333337</v>
      </c>
      <c r="E30" s="26">
        <f>E29/(1+Предпосылки!$C$29)</f>
        <v>483.33333333333337</v>
      </c>
      <c r="F30" s="26">
        <f>F29/(1+Предпосылки!$C$29)</f>
        <v>608.33333333333337</v>
      </c>
      <c r="G30" s="26">
        <f>G29/(1+Предпосылки!$C$29)</f>
        <v>733.33333333333337</v>
      </c>
      <c r="H30" s="26">
        <f>H29/(1+Предпосылки!$C$29)</f>
        <v>858.33333333333337</v>
      </c>
      <c r="I30" s="26">
        <f>I29/(1+Предпосылки!$C$29)</f>
        <v>460.41666666666669</v>
      </c>
      <c r="J30" s="26">
        <f>J29/(1+Предпосылки!$C$29)</f>
        <v>491.66666666666669</v>
      </c>
      <c r="K30" s="26">
        <f>K29/(1+Предпосылки!$C$29)</f>
        <v>522.91666666666674</v>
      </c>
      <c r="L30" s="26">
        <f>L29/(1+Предпосылки!$C$29)</f>
        <v>1170.8333333333335</v>
      </c>
      <c r="M30" s="26">
        <f>M29/(1+Предпосылки!$C$29)</f>
        <v>1331.6666666666667</v>
      </c>
      <c r="N30" s="26">
        <f>N29/(1+Предпосылки!$C$29)</f>
        <v>1505</v>
      </c>
      <c r="O30" s="26">
        <f>O29/(1+Предпосылки!$C$29)</f>
        <v>1690.8333333333335</v>
      </c>
      <c r="P30" s="26">
        <f>P29/(1+Предпосылки!$C$29)</f>
        <v>1735.3208333333337</v>
      </c>
      <c r="Q30" s="26">
        <f>Q29/(1+Предпосылки!$C$29)</f>
        <v>1782.3506458333331</v>
      </c>
      <c r="R30" s="26">
        <f>R29/(1+Предпосылки!$C$29)</f>
        <v>1831.9609055208332</v>
      </c>
      <c r="S30" s="26">
        <f>S29/(1+Предпосылки!$C$29)</f>
        <v>1884.1903191036458</v>
      </c>
      <c r="T30" s="26">
        <f>T29/(1+Предпосылки!$C$29)</f>
        <v>1939.0781738902006</v>
      </c>
      <c r="U30" s="26">
        <f>U29/(1+Предпосылки!$C$29)</f>
        <v>1034.4190926841873</v>
      </c>
      <c r="V30" s="26">
        <f>V29/(1+Предпосылки!$C$29)</f>
        <v>1051.5603773468968</v>
      </c>
      <c r="W30" s="26">
        <f>W29/(1+Предпосылки!$C$29)</f>
        <v>1069.4509687795471</v>
      </c>
      <c r="X30" s="26">
        <f>X29/(1+Предпосылки!$C$29)</f>
        <v>2208.1246704431946</v>
      </c>
      <c r="Y30" s="26">
        <f>Y29/(1+Предпосылки!$C$29)</f>
        <v>2267.2294943205566</v>
      </c>
      <c r="Z30" s="26">
        <f>Z29/(1+Предпосылки!$C$29)</f>
        <v>2316.2615155560793</v>
      </c>
      <c r="AA30" s="26">
        <f>AA29/(1+Предпосылки!$C$29)</f>
        <v>2355.2665171101344</v>
      </c>
      <c r="AB30" s="26">
        <f>AB29/(1+Предпосылки!$C$29)</f>
        <v>2394.8565936874998</v>
      </c>
      <c r="AC30" s="26">
        <f>AC29/(1+Предпосылки!$C$29)</f>
        <v>2435.0405214135262</v>
      </c>
      <c r="AD30" s="26">
        <f>AD29/(1+Предпосылки!$C$29)</f>
        <v>2475.8272080554439</v>
      </c>
      <c r="AE30" s="26">
        <f>AE29/(1+Предпосылки!$C$29)</f>
        <v>2517.2256949969897</v>
      </c>
      <c r="AF30" s="26">
        <f>AF29/(1+Предпосылки!$C$29)</f>
        <v>2559.2451592426582</v>
      </c>
      <c r="AG30" s="26">
        <f>AG29/(1+Предпосылки!$C$29)</f>
        <v>1356.4145678541668</v>
      </c>
      <c r="AH30" s="26">
        <f>AH29/(1+Предпосылки!$C$29)</f>
        <v>1369.4175899947147</v>
      </c>
      <c r="AI30" s="26">
        <f>AI29/(1+Предпосылки!$C$29)</f>
        <v>1382.6156574673705</v>
      </c>
      <c r="AJ30" s="26">
        <f>AJ29/(1+Предпосылки!$C$29)</f>
        <v>2812.0591390902405</v>
      </c>
      <c r="AK30" s="26">
        <f>AK29/(1+Предпосылки!$C$29)</f>
        <v>2859.5893806080744</v>
      </c>
      <c r="AL30" s="26">
        <f>AL29/(1+Предпосылки!$C$29)</f>
        <v>2907.8325757486746</v>
      </c>
      <c r="AM30" s="26">
        <f>AM29/(1+Предпосылки!$C$29)</f>
        <v>2956.7994188163834</v>
      </c>
      <c r="AN30" s="26">
        <f>AN29/(1+Предпосылки!$C$29)</f>
        <v>3006.5007645301093</v>
      </c>
      <c r="AO30" s="26">
        <f>AO29/(1+Предпосылки!$C$29)</f>
        <v>3056.9476304295399</v>
      </c>
      <c r="AP30" s="26">
        <f>AP29/(1+Предпосылки!$C$29)</f>
        <v>3108.1511993174622</v>
      </c>
      <c r="AQ30" s="26">
        <f>AQ29/(1+Предпосылки!$C$29)</f>
        <v>3160.1228217387038</v>
      </c>
      <c r="AR30" s="26">
        <f>AR29/(1+Предпосылки!$C$29)</f>
        <v>3212.8740184962635</v>
      </c>
      <c r="AS30" s="26">
        <f>AS29/(1+Предпосылки!$C$29)</f>
        <v>1702.841600629665</v>
      </c>
      <c r="AT30" s="26">
        <f>AT29/(1+Предпосылки!$C$29)</f>
        <v>1719.1655826625781</v>
      </c>
      <c r="AU30" s="26">
        <f>AU29/(1+Предпосылки!$C$29)</f>
        <v>1735.7344244259853</v>
      </c>
      <c r="AV30" s="26">
        <f>AV29/(1+Предпосылки!$C$29)</f>
        <v>3530.2564562168081</v>
      </c>
      <c r="AW30" s="26">
        <f>AW29/(1+Предпосылки!$C$29)</f>
        <v>3589.9258776921188</v>
      </c>
      <c r="AX30" s="26">
        <f>AX29/(1+Предпосылки!$C$29)</f>
        <v>3650.490340489559</v>
      </c>
      <c r="AY30" s="26">
        <f>AY29/(1+Предпосылки!$C$29)</f>
        <v>3711.9632702289605</v>
      </c>
    </row>
    <row r="32" spans="2:51" x14ac:dyDescent="0.35">
      <c r="B32" s="20" t="s">
        <v>110</v>
      </c>
      <c r="C32" s="20" t="s">
        <v>14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</row>
    <row r="33" spans="2:51" x14ac:dyDescent="0.35">
      <c r="B33" s="1" t="s">
        <v>105</v>
      </c>
      <c r="C33" s="1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>
        <f t="shared" ref="P33:AY33" si="9">P30</f>
        <v>1735.3208333333337</v>
      </c>
      <c r="Q33" s="26">
        <f t="shared" si="9"/>
        <v>1782.3506458333331</v>
      </c>
      <c r="R33" s="26">
        <f t="shared" si="9"/>
        <v>1831.9609055208332</v>
      </c>
      <c r="S33" s="26">
        <f t="shared" si="9"/>
        <v>1884.1903191036458</v>
      </c>
      <c r="T33" s="26">
        <f t="shared" si="9"/>
        <v>1939.0781738902006</v>
      </c>
      <c r="U33" s="26">
        <f t="shared" si="9"/>
        <v>1034.4190926841873</v>
      </c>
      <c r="V33" s="26">
        <f t="shared" si="9"/>
        <v>1051.5603773468968</v>
      </c>
      <c r="W33" s="26">
        <f t="shared" si="9"/>
        <v>1069.4509687795471</v>
      </c>
      <c r="X33" s="26">
        <f t="shared" si="9"/>
        <v>2208.1246704431946</v>
      </c>
      <c r="Y33" s="26">
        <f t="shared" si="9"/>
        <v>2267.2294943205566</v>
      </c>
      <c r="Z33" s="26">
        <f t="shared" si="9"/>
        <v>2316.2615155560793</v>
      </c>
      <c r="AA33" s="26">
        <f t="shared" si="9"/>
        <v>2355.2665171101344</v>
      </c>
      <c r="AB33" s="26">
        <f t="shared" si="9"/>
        <v>2394.8565936874998</v>
      </c>
      <c r="AC33" s="26">
        <f t="shared" si="9"/>
        <v>2435.0405214135262</v>
      </c>
      <c r="AD33" s="26">
        <f t="shared" si="9"/>
        <v>2475.8272080554439</v>
      </c>
      <c r="AE33" s="26">
        <f t="shared" si="9"/>
        <v>2517.2256949969897</v>
      </c>
      <c r="AF33" s="26">
        <f t="shared" si="9"/>
        <v>2559.2451592426582</v>
      </c>
      <c r="AG33" s="26">
        <f t="shared" si="9"/>
        <v>1356.4145678541668</v>
      </c>
      <c r="AH33" s="26">
        <f t="shared" si="9"/>
        <v>1369.4175899947147</v>
      </c>
      <c r="AI33" s="26">
        <f t="shared" si="9"/>
        <v>1382.6156574673705</v>
      </c>
      <c r="AJ33" s="26">
        <f t="shared" si="9"/>
        <v>2812.0591390902405</v>
      </c>
      <c r="AK33" s="26">
        <f t="shared" si="9"/>
        <v>2859.5893806080744</v>
      </c>
      <c r="AL33" s="26">
        <f t="shared" si="9"/>
        <v>2907.8325757486746</v>
      </c>
      <c r="AM33" s="26">
        <f t="shared" si="9"/>
        <v>2956.7994188163834</v>
      </c>
      <c r="AN33" s="26">
        <f t="shared" si="9"/>
        <v>3006.5007645301093</v>
      </c>
      <c r="AO33" s="26">
        <f t="shared" si="9"/>
        <v>3056.9476304295399</v>
      </c>
      <c r="AP33" s="26">
        <f t="shared" si="9"/>
        <v>3108.1511993174622</v>
      </c>
      <c r="AQ33" s="26">
        <f t="shared" si="9"/>
        <v>3160.1228217387038</v>
      </c>
      <c r="AR33" s="26">
        <f t="shared" si="9"/>
        <v>3212.8740184962635</v>
      </c>
      <c r="AS33" s="26">
        <f t="shared" si="9"/>
        <v>1702.841600629665</v>
      </c>
      <c r="AT33" s="26">
        <f t="shared" si="9"/>
        <v>1719.1655826625781</v>
      </c>
      <c r="AU33" s="26">
        <f t="shared" si="9"/>
        <v>1735.7344244259853</v>
      </c>
      <c r="AV33" s="26">
        <f t="shared" si="9"/>
        <v>3530.2564562168081</v>
      </c>
      <c r="AW33" s="26">
        <f t="shared" si="9"/>
        <v>3589.9258776921188</v>
      </c>
      <c r="AX33" s="26">
        <f t="shared" si="9"/>
        <v>3650.490340489559</v>
      </c>
      <c r="AY33" s="26">
        <f t="shared" si="9"/>
        <v>3711.9632702289605</v>
      </c>
    </row>
    <row r="34" spans="2:51" x14ac:dyDescent="0.35">
      <c r="B34" s="1" t="s">
        <v>111</v>
      </c>
      <c r="C34" s="1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>
        <f t="shared" ref="P34:AY34" si="10">SUM(P35:P37)</f>
        <v>-351.66458333333333</v>
      </c>
      <c r="Q34" s="26">
        <f t="shared" si="10"/>
        <v>-360.83474984374988</v>
      </c>
      <c r="R34" s="26">
        <f t="shared" si="10"/>
        <v>-370.38893963436306</v>
      </c>
      <c r="S34" s="26">
        <f t="shared" si="10"/>
        <v>-380.33680853189793</v>
      </c>
      <c r="T34" s="26">
        <f t="shared" si="10"/>
        <v>-390.68822067108977</v>
      </c>
      <c r="U34" s="26">
        <f t="shared" si="10"/>
        <v>-199.37625436615073</v>
      </c>
      <c r="V34" s="26">
        <f t="shared" si="10"/>
        <v>-203.5381956890019</v>
      </c>
      <c r="W34" s="26">
        <f t="shared" si="10"/>
        <v>-207.83302573947321</v>
      </c>
      <c r="X34" s="26">
        <f t="shared" si="10"/>
        <v>-427.69159803591003</v>
      </c>
      <c r="Y34" s="26">
        <f t="shared" si="10"/>
        <v>-438.86568270253065</v>
      </c>
      <c r="Z34" s="26">
        <f t="shared" si="10"/>
        <v>-449.1799004851963</v>
      </c>
      <c r="AA34" s="26">
        <f t="shared" si="10"/>
        <v>-458.62589040734247</v>
      </c>
      <c r="AB34" s="26">
        <f t="shared" si="10"/>
        <v>-468.26365209427536</v>
      </c>
      <c r="AC34" s="26">
        <f t="shared" si="10"/>
        <v>-478.09704608175832</v>
      </c>
      <c r="AD34" s="26">
        <f t="shared" si="10"/>
        <v>-488.13001045939859</v>
      </c>
      <c r="AE34" s="26">
        <f t="shared" si="10"/>
        <v>-498.36656242780765</v>
      </c>
      <c r="AF34" s="26">
        <f t="shared" si="10"/>
        <v>-508.8107998870247</v>
      </c>
      <c r="AG34" s="26">
        <f t="shared" si="10"/>
        <v>-258.78760239044936</v>
      </c>
      <c r="AH34" s="26">
        <f t="shared" si="10"/>
        <v>-263.25415262172396</v>
      </c>
      <c r="AI34" s="26">
        <f t="shared" si="10"/>
        <v>-267.80672579445786</v>
      </c>
      <c r="AJ34" s="26">
        <f t="shared" si="10"/>
        <v>-546.90198941207063</v>
      </c>
      <c r="AK34" s="26">
        <f t="shared" si="10"/>
        <v>-558.41982512093796</v>
      </c>
      <c r="AL34" s="26">
        <f t="shared" si="10"/>
        <v>-570.17157527301788</v>
      </c>
      <c r="AM34" s="26">
        <f t="shared" si="10"/>
        <v>-582.16194917021471</v>
      </c>
      <c r="AN34" s="26">
        <f t="shared" si="10"/>
        <v>-594.3957507210157</v>
      </c>
      <c r="AO34" s="26">
        <f t="shared" si="10"/>
        <v>-606.87788034005507</v>
      </c>
      <c r="AP34" s="26">
        <f t="shared" si="10"/>
        <v>-619.61333688581328</v>
      </c>
      <c r="AQ34" s="26">
        <f t="shared" si="10"/>
        <v>-632.60721963721721</v>
      </c>
      <c r="AR34" s="26">
        <f t="shared" si="10"/>
        <v>-645.86473030992272</v>
      </c>
      <c r="AS34" s="26">
        <f t="shared" si="10"/>
        <v>-328.49496328020331</v>
      </c>
      <c r="AT34" s="26">
        <f t="shared" si="10"/>
        <v>-334.16462921728339</v>
      </c>
      <c r="AU34" s="26">
        <f t="shared" si="10"/>
        <v>-339.94348934579637</v>
      </c>
      <c r="AV34" s="26">
        <f t="shared" si="10"/>
        <v>-694.21621155843491</v>
      </c>
      <c r="AW34" s="26">
        <f t="shared" si="10"/>
        <v>-708.83650628392684</v>
      </c>
      <c r="AX34" s="26">
        <f t="shared" si="10"/>
        <v>-723.75372294742533</v>
      </c>
      <c r="AY34" s="26">
        <f t="shared" si="10"/>
        <v>-738.9738393544427</v>
      </c>
    </row>
    <row r="35" spans="2:51" x14ac:dyDescent="0.35">
      <c r="B35" t="s">
        <v>112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>
        <f t="shared" ref="P35:AY35" si="11">-(P57)+0</f>
        <v>-131.94999999999996</v>
      </c>
      <c r="Q35" s="22">
        <f t="shared" si="11"/>
        <v>-134.59889624999994</v>
      </c>
      <c r="R35" s="22">
        <f t="shared" si="11"/>
        <v>-137.30096909221865</v>
      </c>
      <c r="S35" s="22">
        <f t="shared" si="11"/>
        <v>-140.05728604674493</v>
      </c>
      <c r="T35" s="22">
        <f t="shared" si="11"/>
        <v>-142.86893606413335</v>
      </c>
      <c r="U35" s="22">
        <f t="shared" si="11"/>
        <v>-72.868514977810392</v>
      </c>
      <c r="V35" s="22">
        <f t="shared" si="11"/>
        <v>-74.331350415989917</v>
      </c>
      <c r="W35" s="22">
        <f t="shared" si="11"/>
        <v>-75.823552275590913</v>
      </c>
      <c r="X35" s="22">
        <f t="shared" si="11"/>
        <v>-154.69142017504677</v>
      </c>
      <c r="Y35" s="22">
        <f t="shared" si="11"/>
        <v>-157.7968504350608</v>
      </c>
      <c r="Z35" s="22">
        <f t="shared" si="11"/>
        <v>-160.96462220754461</v>
      </c>
      <c r="AA35" s="22">
        <f t="shared" si="11"/>
        <v>-164.19598699836101</v>
      </c>
      <c r="AB35" s="22">
        <f t="shared" si="11"/>
        <v>-167.49222143735312</v>
      </c>
      <c r="AC35" s="22">
        <f t="shared" si="11"/>
        <v>-170.85462778270795</v>
      </c>
      <c r="AD35" s="22">
        <f t="shared" si="11"/>
        <v>-174.28453443544575</v>
      </c>
      <c r="AE35" s="22">
        <f t="shared" si="11"/>
        <v>-177.78329646423731</v>
      </c>
      <c r="AF35" s="22">
        <f t="shared" si="11"/>
        <v>-181.35229614075683</v>
      </c>
      <c r="AG35" s="22">
        <f t="shared" si="11"/>
        <v>-92.496471742891259</v>
      </c>
      <c r="AH35" s="22">
        <f t="shared" si="11"/>
        <v>-94.353338413129777</v>
      </c>
      <c r="AI35" s="22">
        <f t="shared" si="11"/>
        <v>-96.247481681773323</v>
      </c>
      <c r="AJ35" s="22">
        <f t="shared" si="11"/>
        <v>-196.35929975306985</v>
      </c>
      <c r="AK35" s="22">
        <f t="shared" si="11"/>
        <v>-200.30121269561266</v>
      </c>
      <c r="AL35" s="22">
        <f t="shared" si="11"/>
        <v>-204.32225954047709</v>
      </c>
      <c r="AM35" s="22">
        <f t="shared" si="11"/>
        <v>-208.42402890075215</v>
      </c>
      <c r="AN35" s="22">
        <f t="shared" si="11"/>
        <v>-212.60814128093469</v>
      </c>
      <c r="AO35" s="22">
        <f t="shared" si="11"/>
        <v>-216.87624971714939</v>
      </c>
      <c r="AP35" s="22">
        <f t="shared" si="11"/>
        <v>-221.23004043022107</v>
      </c>
      <c r="AQ35" s="22">
        <f t="shared" si="11"/>
        <v>-225.67123349185778</v>
      </c>
      <c r="AR35" s="22">
        <f t="shared" si="11"/>
        <v>-230.20158350420678</v>
      </c>
      <c r="AS35" s="22">
        <f t="shared" si="11"/>
        <v>-117.41144014652683</v>
      </c>
      <c r="AT35" s="22">
        <f t="shared" si="11"/>
        <v>-119.76847480746834</v>
      </c>
      <c r="AU35" s="22">
        <f t="shared" si="11"/>
        <v>-122.17282693922824</v>
      </c>
      <c r="AV35" s="22">
        <f t="shared" si="11"/>
        <v>-249.25089288006649</v>
      </c>
      <c r="AW35" s="22">
        <f t="shared" si="11"/>
        <v>-254.25460455463377</v>
      </c>
      <c r="AX35" s="22">
        <f t="shared" si="11"/>
        <v>-259.358765741068</v>
      </c>
      <c r="AY35" s="22">
        <f t="shared" si="11"/>
        <v>-264.56539296331988</v>
      </c>
    </row>
    <row r="36" spans="2:51" x14ac:dyDescent="0.35">
      <c r="B36" t="s">
        <v>113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>
        <f t="shared" ref="P36:AY36" si="12">-(P61)+0</f>
        <v>-38.485416666666666</v>
      </c>
      <c r="Q36" s="22">
        <f t="shared" si="12"/>
        <v>-39.258011406249977</v>
      </c>
      <c r="R36" s="22">
        <f t="shared" si="12"/>
        <v>-40.04611598523045</v>
      </c>
      <c r="S36" s="22">
        <f t="shared" si="12"/>
        <v>-40.850041763633939</v>
      </c>
      <c r="T36" s="22">
        <f t="shared" si="12"/>
        <v>-41.670106352038893</v>
      </c>
      <c r="U36" s="22">
        <f t="shared" si="12"/>
        <v>-21.253316868528032</v>
      </c>
      <c r="V36" s="22">
        <f t="shared" si="12"/>
        <v>-21.679977204663725</v>
      </c>
      <c r="W36" s="22">
        <f t="shared" si="12"/>
        <v>-22.115202747047345</v>
      </c>
      <c r="X36" s="22">
        <f t="shared" si="12"/>
        <v>-45.118330884388641</v>
      </c>
      <c r="Y36" s="22">
        <f t="shared" si="12"/>
        <v>-46.024081376892731</v>
      </c>
      <c r="Z36" s="22">
        <f t="shared" si="12"/>
        <v>-46.948014810533827</v>
      </c>
      <c r="AA36" s="22">
        <f t="shared" si="12"/>
        <v>-47.890496207855293</v>
      </c>
      <c r="AB36" s="22">
        <f t="shared" si="12"/>
        <v>-48.851897919227973</v>
      </c>
      <c r="AC36" s="22">
        <f t="shared" si="12"/>
        <v>-49.832599769956467</v>
      </c>
      <c r="AD36" s="22">
        <f t="shared" si="12"/>
        <v>-50.832989210338326</v>
      </c>
      <c r="AE36" s="22">
        <f t="shared" si="12"/>
        <v>-51.853461468735865</v>
      </c>
      <c r="AF36" s="22">
        <f t="shared" si="12"/>
        <v>-52.894419707720729</v>
      </c>
      <c r="AG36" s="22">
        <f t="shared" si="12"/>
        <v>-26.978137591676607</v>
      </c>
      <c r="AH36" s="22">
        <f t="shared" si="12"/>
        <v>-27.519723703829506</v>
      </c>
      <c r="AI36" s="22">
        <f t="shared" si="12"/>
        <v>-28.072182157183878</v>
      </c>
      <c r="AJ36" s="22">
        <f t="shared" si="12"/>
        <v>-57.271462427978683</v>
      </c>
      <c r="AK36" s="22">
        <f t="shared" si="12"/>
        <v>-58.421187036220346</v>
      </c>
      <c r="AL36" s="22">
        <f t="shared" si="12"/>
        <v>-59.593992365972461</v>
      </c>
      <c r="AM36" s="22">
        <f t="shared" si="12"/>
        <v>-60.790341762719343</v>
      </c>
      <c r="AN36" s="22">
        <f t="shared" si="12"/>
        <v>-62.010707873605924</v>
      </c>
      <c r="AO36" s="22">
        <f t="shared" si="12"/>
        <v>-63.255572834168539</v>
      </c>
      <c r="AP36" s="22">
        <f t="shared" si="12"/>
        <v>-64.525428458814474</v>
      </c>
      <c r="AQ36" s="22">
        <f t="shared" si="12"/>
        <v>-65.820776435125154</v>
      </c>
      <c r="AR36" s="22">
        <f t="shared" si="12"/>
        <v>-67.14212852206029</v>
      </c>
      <c r="AS36" s="22">
        <f t="shared" si="12"/>
        <v>-34.245003376070308</v>
      </c>
      <c r="AT36" s="22">
        <f t="shared" si="12"/>
        <v>-34.93247181884491</v>
      </c>
      <c r="AU36" s="22">
        <f t="shared" si="12"/>
        <v>-35.633741190608212</v>
      </c>
      <c r="AV36" s="22">
        <f t="shared" si="12"/>
        <v>-72.698177090019357</v>
      </c>
      <c r="AW36" s="22">
        <f t="shared" si="12"/>
        <v>-74.157592995101467</v>
      </c>
      <c r="AX36" s="22">
        <f t="shared" si="12"/>
        <v>-75.646306674478112</v>
      </c>
      <c r="AY36" s="22">
        <f t="shared" si="12"/>
        <v>-77.164906280968253</v>
      </c>
    </row>
    <row r="37" spans="2:51" x14ac:dyDescent="0.35">
      <c r="B37" t="s">
        <v>114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>
        <f t="shared" ref="P37:AY37" si="13">-(P65)+0</f>
        <v>-181.22916666666669</v>
      </c>
      <c r="Q37" s="22">
        <f t="shared" si="13"/>
        <v>-186.97784218749996</v>
      </c>
      <c r="R37" s="22">
        <f t="shared" si="13"/>
        <v>-193.04185455691399</v>
      </c>
      <c r="S37" s="22">
        <f t="shared" si="13"/>
        <v>-199.42948072151904</v>
      </c>
      <c r="T37" s="22">
        <f t="shared" si="13"/>
        <v>-206.14917825491756</v>
      </c>
      <c r="U37" s="22">
        <f t="shared" si="13"/>
        <v>-105.25442251981231</v>
      </c>
      <c r="V37" s="22">
        <f t="shared" si="13"/>
        <v>-107.52686806834826</v>
      </c>
      <c r="W37" s="22">
        <f t="shared" si="13"/>
        <v>-109.89427071683494</v>
      </c>
      <c r="X37" s="22">
        <f t="shared" si="13"/>
        <v>-227.88184697647461</v>
      </c>
      <c r="Y37" s="22">
        <f t="shared" si="13"/>
        <v>-235.04475089057709</v>
      </c>
      <c r="Z37" s="22">
        <f t="shared" si="13"/>
        <v>-241.26726346711783</v>
      </c>
      <c r="AA37" s="22">
        <f t="shared" si="13"/>
        <v>-246.53940720112615</v>
      </c>
      <c r="AB37" s="22">
        <f t="shared" si="13"/>
        <v>-251.91953273769423</v>
      </c>
      <c r="AC37" s="22">
        <f t="shared" si="13"/>
        <v>-257.40981852909391</v>
      </c>
      <c r="AD37" s="22">
        <f t="shared" si="13"/>
        <v>-263.01248681361449</v>
      </c>
      <c r="AE37" s="22">
        <f t="shared" si="13"/>
        <v>-268.72980449483447</v>
      </c>
      <c r="AF37" s="22">
        <f t="shared" si="13"/>
        <v>-274.56408403854715</v>
      </c>
      <c r="AG37" s="22">
        <f t="shared" si="13"/>
        <v>-139.31299305588149</v>
      </c>
      <c r="AH37" s="22">
        <f t="shared" si="13"/>
        <v>-141.3810905047647</v>
      </c>
      <c r="AI37" s="22">
        <f t="shared" si="13"/>
        <v>-143.48706195550065</v>
      </c>
      <c r="AJ37" s="22">
        <f t="shared" si="13"/>
        <v>-293.27122723102212</v>
      </c>
      <c r="AK37" s="22">
        <f t="shared" si="13"/>
        <v>-299.69742538910504</v>
      </c>
      <c r="AL37" s="22">
        <f t="shared" si="13"/>
        <v>-306.2553233665684</v>
      </c>
      <c r="AM37" s="22">
        <f t="shared" si="13"/>
        <v>-312.9475785067433</v>
      </c>
      <c r="AN37" s="22">
        <f t="shared" si="13"/>
        <v>-319.77690156647515</v>
      </c>
      <c r="AO37" s="22">
        <f t="shared" si="13"/>
        <v>-326.74605778873718</v>
      </c>
      <c r="AP37" s="22">
        <f t="shared" si="13"/>
        <v>-333.85786799677771</v>
      </c>
      <c r="AQ37" s="22">
        <f t="shared" si="13"/>
        <v>-341.11520971023435</v>
      </c>
      <c r="AR37" s="22">
        <f t="shared" si="13"/>
        <v>-348.52101828365562</v>
      </c>
      <c r="AS37" s="22">
        <f t="shared" si="13"/>
        <v>-176.83851975760618</v>
      </c>
      <c r="AT37" s="22">
        <f t="shared" si="13"/>
        <v>-179.46368259097011</v>
      </c>
      <c r="AU37" s="22">
        <f t="shared" si="13"/>
        <v>-182.13692121595994</v>
      </c>
      <c r="AV37" s="22">
        <f t="shared" si="13"/>
        <v>-372.26714158834909</v>
      </c>
      <c r="AW37" s="22">
        <f t="shared" si="13"/>
        <v>-380.42430873419164</v>
      </c>
      <c r="AX37" s="22">
        <f t="shared" si="13"/>
        <v>-388.74865053187915</v>
      </c>
      <c r="AY37" s="22">
        <f t="shared" si="13"/>
        <v>-397.24354011015458</v>
      </c>
    </row>
    <row r="38" spans="2:51" x14ac:dyDescent="0.35">
      <c r="B38" s="1" t="s">
        <v>115</v>
      </c>
      <c r="C38" s="1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>
        <f t="shared" ref="P38:AY38" si="14">SUM(P33,P34)</f>
        <v>1383.6562500000005</v>
      </c>
      <c r="Q38" s="26">
        <f t="shared" si="14"/>
        <v>1421.5158959895832</v>
      </c>
      <c r="R38" s="26">
        <f t="shared" si="14"/>
        <v>1461.57196588647</v>
      </c>
      <c r="S38" s="26">
        <f t="shared" si="14"/>
        <v>1503.8535105717478</v>
      </c>
      <c r="T38" s="26">
        <f t="shared" si="14"/>
        <v>1548.3899532191108</v>
      </c>
      <c r="U38" s="26">
        <f t="shared" si="14"/>
        <v>835.0428383180365</v>
      </c>
      <c r="V38" s="26">
        <f t="shared" si="14"/>
        <v>848.02218165789486</v>
      </c>
      <c r="W38" s="26">
        <f t="shared" si="14"/>
        <v>861.6179430400739</v>
      </c>
      <c r="X38" s="26">
        <f t="shared" si="14"/>
        <v>1780.4330724072847</v>
      </c>
      <c r="Y38" s="26">
        <f t="shared" si="14"/>
        <v>1828.3638116180259</v>
      </c>
      <c r="Z38" s="26">
        <f t="shared" si="14"/>
        <v>1867.0816150708829</v>
      </c>
      <c r="AA38" s="26">
        <f t="shared" si="14"/>
        <v>1896.6406267027919</v>
      </c>
      <c r="AB38" s="26">
        <f t="shared" si="14"/>
        <v>1926.5929415932244</v>
      </c>
      <c r="AC38" s="26">
        <f t="shared" si="14"/>
        <v>1956.9434753317678</v>
      </c>
      <c r="AD38" s="26">
        <f t="shared" si="14"/>
        <v>1987.6971975960453</v>
      </c>
      <c r="AE38" s="26">
        <f t="shared" si="14"/>
        <v>2018.8591325691821</v>
      </c>
      <c r="AF38" s="26">
        <f t="shared" si="14"/>
        <v>2050.4343593556337</v>
      </c>
      <c r="AG38" s="26">
        <f t="shared" si="14"/>
        <v>1097.6269654637174</v>
      </c>
      <c r="AH38" s="26">
        <f t="shared" si="14"/>
        <v>1106.1634373729908</v>
      </c>
      <c r="AI38" s="26">
        <f t="shared" si="14"/>
        <v>1114.8089316729126</v>
      </c>
      <c r="AJ38" s="26">
        <f t="shared" si="14"/>
        <v>2265.1571496781698</v>
      </c>
      <c r="AK38" s="26">
        <f t="shared" si="14"/>
        <v>2301.1695554871367</v>
      </c>
      <c r="AL38" s="26">
        <f t="shared" si="14"/>
        <v>2337.6610004756567</v>
      </c>
      <c r="AM38" s="26">
        <f t="shared" si="14"/>
        <v>2374.6374696461689</v>
      </c>
      <c r="AN38" s="26">
        <f t="shared" si="14"/>
        <v>2412.1050138090936</v>
      </c>
      <c r="AO38" s="26">
        <f t="shared" si="14"/>
        <v>2450.0697500894848</v>
      </c>
      <c r="AP38" s="26">
        <f t="shared" si="14"/>
        <v>2488.537862431649</v>
      </c>
      <c r="AQ38" s="26">
        <f t="shared" si="14"/>
        <v>2527.5156021014864</v>
      </c>
      <c r="AR38" s="26">
        <f t="shared" si="14"/>
        <v>2567.0092881863407</v>
      </c>
      <c r="AS38" s="26">
        <f t="shared" si="14"/>
        <v>1374.3466373494616</v>
      </c>
      <c r="AT38" s="26">
        <f t="shared" si="14"/>
        <v>1385.0009534452947</v>
      </c>
      <c r="AU38" s="26">
        <f t="shared" si="14"/>
        <v>1395.7909350801888</v>
      </c>
      <c r="AV38" s="26">
        <f t="shared" si="14"/>
        <v>2836.040244658373</v>
      </c>
      <c r="AW38" s="26">
        <f t="shared" si="14"/>
        <v>2881.0893714081922</v>
      </c>
      <c r="AX38" s="26">
        <f t="shared" si="14"/>
        <v>2926.7366175421339</v>
      </c>
      <c r="AY38" s="26">
        <f t="shared" si="14"/>
        <v>2972.9894308745179</v>
      </c>
    </row>
    <row r="39" spans="2:51" x14ac:dyDescent="0.35">
      <c r="B39" s="1" t="s">
        <v>36</v>
      </c>
      <c r="C39" s="1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>
        <f t="shared" ref="P39:AY39" si="15">SUM(P40:P42)</f>
        <v>-1451.16091954023</v>
      </c>
      <c r="Q39" s="26">
        <f t="shared" si="15"/>
        <v>-1451.16091954023</v>
      </c>
      <c r="R39" s="26">
        <f t="shared" si="15"/>
        <v>-1451.16091954023</v>
      </c>
      <c r="S39" s="26">
        <f t="shared" si="15"/>
        <v>-1451.16091954023</v>
      </c>
      <c r="T39" s="26">
        <f t="shared" si="15"/>
        <v>-1451.16091954023</v>
      </c>
      <c r="U39" s="26">
        <f t="shared" si="15"/>
        <v>-1451.16091954023</v>
      </c>
      <c r="V39" s="26">
        <f t="shared" si="15"/>
        <v>-1451.16091954023</v>
      </c>
      <c r="W39" s="26">
        <f t="shared" si="15"/>
        <v>-1451.16091954023</v>
      </c>
      <c r="X39" s="26">
        <f t="shared" si="15"/>
        <v>-1451.16091954023</v>
      </c>
      <c r="Y39" s="26">
        <f t="shared" si="15"/>
        <v>-1451.16091954023</v>
      </c>
      <c r="Z39" s="26">
        <f t="shared" si="15"/>
        <v>-1451.16091954023</v>
      </c>
      <c r="AA39" s="26">
        <f t="shared" si="15"/>
        <v>-1451.16091954023</v>
      </c>
      <c r="AB39" s="26">
        <f t="shared" si="15"/>
        <v>-1523.7189655172413</v>
      </c>
      <c r="AC39" s="26">
        <f t="shared" si="15"/>
        <v>-1523.7189655172413</v>
      </c>
      <c r="AD39" s="26">
        <f t="shared" si="15"/>
        <v>-1523.7189655172413</v>
      </c>
      <c r="AE39" s="26">
        <f t="shared" si="15"/>
        <v>-1523.7189655172413</v>
      </c>
      <c r="AF39" s="26">
        <f t="shared" si="15"/>
        <v>-1523.7189655172413</v>
      </c>
      <c r="AG39" s="26">
        <f t="shared" si="15"/>
        <v>-1523.7189655172413</v>
      </c>
      <c r="AH39" s="26">
        <f t="shared" si="15"/>
        <v>-1523.7189655172413</v>
      </c>
      <c r="AI39" s="26">
        <f t="shared" si="15"/>
        <v>-1523.7189655172413</v>
      </c>
      <c r="AJ39" s="26">
        <f t="shared" si="15"/>
        <v>-1523.7189655172413</v>
      </c>
      <c r="AK39" s="26">
        <f t="shared" si="15"/>
        <v>-1523.7189655172413</v>
      </c>
      <c r="AL39" s="26">
        <f t="shared" si="15"/>
        <v>-1523.7189655172413</v>
      </c>
      <c r="AM39" s="26">
        <f t="shared" si="15"/>
        <v>-1523.7189655172413</v>
      </c>
      <c r="AN39" s="26">
        <f t="shared" si="15"/>
        <v>-1599.9049137931036</v>
      </c>
      <c r="AO39" s="26">
        <f t="shared" si="15"/>
        <v>-1599.9049137931036</v>
      </c>
      <c r="AP39" s="26">
        <f t="shared" si="15"/>
        <v>-1599.9049137931036</v>
      </c>
      <c r="AQ39" s="26">
        <f t="shared" si="15"/>
        <v>-1599.9049137931036</v>
      </c>
      <c r="AR39" s="26">
        <f t="shared" si="15"/>
        <v>-1599.9049137931036</v>
      </c>
      <c r="AS39" s="26">
        <f t="shared" si="15"/>
        <v>-1599.9049137931036</v>
      </c>
      <c r="AT39" s="26">
        <f t="shared" si="15"/>
        <v>-1599.9049137931036</v>
      </c>
      <c r="AU39" s="26">
        <f t="shared" si="15"/>
        <v>-1599.9049137931036</v>
      </c>
      <c r="AV39" s="26">
        <f t="shared" si="15"/>
        <v>-1599.9049137931036</v>
      </c>
      <c r="AW39" s="26">
        <f t="shared" si="15"/>
        <v>-1599.9049137931036</v>
      </c>
      <c r="AX39" s="26">
        <f t="shared" si="15"/>
        <v>-1599.9049137931036</v>
      </c>
      <c r="AY39" s="26">
        <f t="shared" si="15"/>
        <v>-1599.9049137931036</v>
      </c>
    </row>
    <row r="40" spans="2:51" x14ac:dyDescent="0.35">
      <c r="B40" t="s">
        <v>116</v>
      </c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>
        <f t="shared" ref="P40:AY40" si="16">-(P69)+0</f>
        <v>-500</v>
      </c>
      <c r="Q40" s="22">
        <f t="shared" si="16"/>
        <v>-500</v>
      </c>
      <c r="R40" s="22">
        <f t="shared" si="16"/>
        <v>-500</v>
      </c>
      <c r="S40" s="22">
        <f t="shared" si="16"/>
        <v>-500</v>
      </c>
      <c r="T40" s="22">
        <f t="shared" si="16"/>
        <v>-500</v>
      </c>
      <c r="U40" s="22">
        <f t="shared" si="16"/>
        <v>-500</v>
      </c>
      <c r="V40" s="22">
        <f t="shared" si="16"/>
        <v>-500</v>
      </c>
      <c r="W40" s="22">
        <f t="shared" si="16"/>
        <v>-500</v>
      </c>
      <c r="X40" s="22">
        <f t="shared" si="16"/>
        <v>-500</v>
      </c>
      <c r="Y40" s="22">
        <f t="shared" si="16"/>
        <v>-500</v>
      </c>
      <c r="Z40" s="22">
        <f t="shared" si="16"/>
        <v>-500</v>
      </c>
      <c r="AA40" s="22">
        <f t="shared" si="16"/>
        <v>-500</v>
      </c>
      <c r="AB40" s="22">
        <f t="shared" si="16"/>
        <v>-525</v>
      </c>
      <c r="AC40" s="22">
        <f t="shared" si="16"/>
        <v>-525</v>
      </c>
      <c r="AD40" s="22">
        <f t="shared" si="16"/>
        <v>-525</v>
      </c>
      <c r="AE40" s="22">
        <f t="shared" si="16"/>
        <v>-525</v>
      </c>
      <c r="AF40" s="22">
        <f t="shared" si="16"/>
        <v>-525</v>
      </c>
      <c r="AG40" s="22">
        <f t="shared" si="16"/>
        <v>-525</v>
      </c>
      <c r="AH40" s="22">
        <f t="shared" si="16"/>
        <v>-525</v>
      </c>
      <c r="AI40" s="22">
        <f t="shared" si="16"/>
        <v>-525</v>
      </c>
      <c r="AJ40" s="22">
        <f t="shared" si="16"/>
        <v>-525</v>
      </c>
      <c r="AK40" s="22">
        <f t="shared" si="16"/>
        <v>-525</v>
      </c>
      <c r="AL40" s="22">
        <f t="shared" si="16"/>
        <v>-525</v>
      </c>
      <c r="AM40" s="22">
        <f t="shared" si="16"/>
        <v>-525</v>
      </c>
      <c r="AN40" s="22">
        <f t="shared" si="16"/>
        <v>-551.25</v>
      </c>
      <c r="AO40" s="22">
        <f t="shared" si="16"/>
        <v>-551.25</v>
      </c>
      <c r="AP40" s="22">
        <f t="shared" si="16"/>
        <v>-551.25</v>
      </c>
      <c r="AQ40" s="22">
        <f t="shared" si="16"/>
        <v>-551.25</v>
      </c>
      <c r="AR40" s="22">
        <f t="shared" si="16"/>
        <v>-551.25</v>
      </c>
      <c r="AS40" s="22">
        <f t="shared" si="16"/>
        <v>-551.25</v>
      </c>
      <c r="AT40" s="22">
        <f t="shared" si="16"/>
        <v>-551.25</v>
      </c>
      <c r="AU40" s="22">
        <f t="shared" si="16"/>
        <v>-551.25</v>
      </c>
      <c r="AV40" s="22">
        <f t="shared" si="16"/>
        <v>-551.25</v>
      </c>
      <c r="AW40" s="22">
        <f t="shared" si="16"/>
        <v>-551.25</v>
      </c>
      <c r="AX40" s="22">
        <f t="shared" si="16"/>
        <v>-551.25</v>
      </c>
      <c r="AY40" s="22">
        <f t="shared" si="16"/>
        <v>-551.25</v>
      </c>
    </row>
    <row r="41" spans="2:51" x14ac:dyDescent="0.35">
      <c r="B41" t="s">
        <v>117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>
        <f t="shared" ref="P41:AY41" si="17">-(P71)+0</f>
        <v>-8.3333333333333339</v>
      </c>
      <c r="Q41" s="22">
        <f t="shared" si="17"/>
        <v>-8.3333333333333339</v>
      </c>
      <c r="R41" s="22">
        <f t="shared" si="17"/>
        <v>-8.3333333333333339</v>
      </c>
      <c r="S41" s="22">
        <f t="shared" si="17"/>
        <v>-8.3333333333333339</v>
      </c>
      <c r="T41" s="22">
        <f t="shared" si="17"/>
        <v>-8.3333333333333339</v>
      </c>
      <c r="U41" s="22">
        <f t="shared" si="17"/>
        <v>-8.3333333333333339</v>
      </c>
      <c r="V41" s="22">
        <f t="shared" si="17"/>
        <v>-8.3333333333333339</v>
      </c>
      <c r="W41" s="22">
        <f t="shared" si="17"/>
        <v>-8.3333333333333339</v>
      </c>
      <c r="X41" s="22">
        <f t="shared" si="17"/>
        <v>-8.3333333333333339</v>
      </c>
      <c r="Y41" s="22">
        <f t="shared" si="17"/>
        <v>-8.3333333333333339</v>
      </c>
      <c r="Z41" s="22">
        <f t="shared" si="17"/>
        <v>-8.3333333333333339</v>
      </c>
      <c r="AA41" s="22">
        <f t="shared" si="17"/>
        <v>-8.3333333333333339</v>
      </c>
      <c r="AB41" s="22">
        <f t="shared" si="17"/>
        <v>-8.75</v>
      </c>
      <c r="AC41" s="22">
        <f t="shared" si="17"/>
        <v>-8.75</v>
      </c>
      <c r="AD41" s="22">
        <f t="shared" si="17"/>
        <v>-8.75</v>
      </c>
      <c r="AE41" s="22">
        <f t="shared" si="17"/>
        <v>-8.75</v>
      </c>
      <c r="AF41" s="22">
        <f t="shared" si="17"/>
        <v>-8.75</v>
      </c>
      <c r="AG41" s="22">
        <f t="shared" si="17"/>
        <v>-8.75</v>
      </c>
      <c r="AH41" s="22">
        <f t="shared" si="17"/>
        <v>-8.75</v>
      </c>
      <c r="AI41" s="22">
        <f t="shared" si="17"/>
        <v>-8.75</v>
      </c>
      <c r="AJ41" s="22">
        <f t="shared" si="17"/>
        <v>-8.75</v>
      </c>
      <c r="AK41" s="22">
        <f t="shared" si="17"/>
        <v>-8.75</v>
      </c>
      <c r="AL41" s="22">
        <f t="shared" si="17"/>
        <v>-8.75</v>
      </c>
      <c r="AM41" s="22">
        <f t="shared" si="17"/>
        <v>-8.75</v>
      </c>
      <c r="AN41" s="22">
        <f t="shared" si="17"/>
        <v>-9.1875</v>
      </c>
      <c r="AO41" s="22">
        <f t="shared" si="17"/>
        <v>-9.1875</v>
      </c>
      <c r="AP41" s="22">
        <f t="shared" si="17"/>
        <v>-9.1875</v>
      </c>
      <c r="AQ41" s="22">
        <f t="shared" si="17"/>
        <v>-9.1875</v>
      </c>
      <c r="AR41" s="22">
        <f t="shared" si="17"/>
        <v>-9.1875</v>
      </c>
      <c r="AS41" s="22">
        <f t="shared" si="17"/>
        <v>-9.1875</v>
      </c>
      <c r="AT41" s="22">
        <f t="shared" si="17"/>
        <v>-9.1875</v>
      </c>
      <c r="AU41" s="22">
        <f t="shared" si="17"/>
        <v>-9.1875</v>
      </c>
      <c r="AV41" s="22">
        <f t="shared" si="17"/>
        <v>-9.1875</v>
      </c>
      <c r="AW41" s="22">
        <f t="shared" si="17"/>
        <v>-9.1875</v>
      </c>
      <c r="AX41" s="22">
        <f t="shared" si="17"/>
        <v>-9.1875</v>
      </c>
      <c r="AY41" s="22">
        <f t="shared" si="17"/>
        <v>-9.1875</v>
      </c>
    </row>
    <row r="42" spans="2:51" x14ac:dyDescent="0.35">
      <c r="B42" t="s">
        <v>118</v>
      </c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>
        <f t="shared" ref="P42:AY42" si="18">-(P86)+0</f>
        <v>-942.82758620689663</v>
      </c>
      <c r="Q42" s="22">
        <f t="shared" si="18"/>
        <v>-942.82758620689663</v>
      </c>
      <c r="R42" s="22">
        <f t="shared" si="18"/>
        <v>-942.82758620689663</v>
      </c>
      <c r="S42" s="22">
        <f t="shared" si="18"/>
        <v>-942.82758620689663</v>
      </c>
      <c r="T42" s="22">
        <f t="shared" si="18"/>
        <v>-942.82758620689663</v>
      </c>
      <c r="U42" s="22">
        <f t="shared" si="18"/>
        <v>-942.82758620689663</v>
      </c>
      <c r="V42" s="22">
        <f t="shared" si="18"/>
        <v>-942.82758620689663</v>
      </c>
      <c r="W42" s="22">
        <f t="shared" si="18"/>
        <v>-942.82758620689663</v>
      </c>
      <c r="X42" s="22">
        <f t="shared" si="18"/>
        <v>-942.82758620689663</v>
      </c>
      <c r="Y42" s="22">
        <f t="shared" si="18"/>
        <v>-942.82758620689663</v>
      </c>
      <c r="Z42" s="22">
        <f t="shared" si="18"/>
        <v>-942.82758620689663</v>
      </c>
      <c r="AA42" s="22">
        <f t="shared" si="18"/>
        <v>-942.82758620689663</v>
      </c>
      <c r="AB42" s="22">
        <f t="shared" si="18"/>
        <v>-989.96896551724126</v>
      </c>
      <c r="AC42" s="22">
        <f t="shared" si="18"/>
        <v>-989.96896551724126</v>
      </c>
      <c r="AD42" s="22">
        <f t="shared" si="18"/>
        <v>-989.96896551724126</v>
      </c>
      <c r="AE42" s="22">
        <f t="shared" si="18"/>
        <v>-989.96896551724126</v>
      </c>
      <c r="AF42" s="22">
        <f t="shared" si="18"/>
        <v>-989.96896551724126</v>
      </c>
      <c r="AG42" s="22">
        <f t="shared" si="18"/>
        <v>-989.96896551724126</v>
      </c>
      <c r="AH42" s="22">
        <f t="shared" si="18"/>
        <v>-989.96896551724126</v>
      </c>
      <c r="AI42" s="22">
        <f t="shared" si="18"/>
        <v>-989.96896551724126</v>
      </c>
      <c r="AJ42" s="22">
        <f t="shared" si="18"/>
        <v>-989.96896551724126</v>
      </c>
      <c r="AK42" s="22">
        <f t="shared" si="18"/>
        <v>-989.96896551724126</v>
      </c>
      <c r="AL42" s="22">
        <f t="shared" si="18"/>
        <v>-989.96896551724126</v>
      </c>
      <c r="AM42" s="22">
        <f t="shared" si="18"/>
        <v>-989.96896551724126</v>
      </c>
      <c r="AN42" s="22">
        <f t="shared" si="18"/>
        <v>-1039.4674137931036</v>
      </c>
      <c r="AO42" s="22">
        <f t="shared" si="18"/>
        <v>-1039.4674137931036</v>
      </c>
      <c r="AP42" s="22">
        <f t="shared" si="18"/>
        <v>-1039.4674137931036</v>
      </c>
      <c r="AQ42" s="22">
        <f t="shared" si="18"/>
        <v>-1039.4674137931036</v>
      </c>
      <c r="AR42" s="22">
        <f t="shared" si="18"/>
        <v>-1039.4674137931036</v>
      </c>
      <c r="AS42" s="22">
        <f t="shared" si="18"/>
        <v>-1039.4674137931036</v>
      </c>
      <c r="AT42" s="22">
        <f t="shared" si="18"/>
        <v>-1039.4674137931036</v>
      </c>
      <c r="AU42" s="22">
        <f t="shared" si="18"/>
        <v>-1039.4674137931036</v>
      </c>
      <c r="AV42" s="22">
        <f t="shared" si="18"/>
        <v>-1039.4674137931036</v>
      </c>
      <c r="AW42" s="22">
        <f t="shared" si="18"/>
        <v>-1039.4674137931036</v>
      </c>
      <c r="AX42" s="22">
        <f t="shared" si="18"/>
        <v>-1039.4674137931036</v>
      </c>
      <c r="AY42" s="22">
        <f t="shared" si="18"/>
        <v>-1039.4674137931036</v>
      </c>
    </row>
    <row r="43" spans="2:51" x14ac:dyDescent="0.35">
      <c r="B43" s="1" t="s">
        <v>119</v>
      </c>
      <c r="C43" s="1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>
        <f t="shared" ref="P43:AY43" si="19">SUM(P33,P34,P39)</f>
        <v>-67.504669540229543</v>
      </c>
      <c r="Q43" s="26">
        <f t="shared" si="19"/>
        <v>-29.645023550646783</v>
      </c>
      <c r="R43" s="26">
        <f t="shared" si="19"/>
        <v>10.411046346240028</v>
      </c>
      <c r="S43" s="26">
        <f t="shared" si="19"/>
        <v>52.69259103151785</v>
      </c>
      <c r="T43" s="26">
        <f t="shared" si="19"/>
        <v>97.229033678880796</v>
      </c>
      <c r="U43" s="26">
        <f t="shared" si="19"/>
        <v>-616.1180812221935</v>
      </c>
      <c r="V43" s="26">
        <f t="shared" si="19"/>
        <v>-603.13873788233514</v>
      </c>
      <c r="W43" s="26">
        <f t="shared" si="19"/>
        <v>-589.5429765001561</v>
      </c>
      <c r="X43" s="26">
        <f t="shared" si="19"/>
        <v>329.27215286705473</v>
      </c>
      <c r="Y43" s="26">
        <f t="shared" si="19"/>
        <v>377.20289207779592</v>
      </c>
      <c r="Z43" s="26">
        <f t="shared" si="19"/>
        <v>415.92069553065289</v>
      </c>
      <c r="AA43" s="26">
        <f t="shared" si="19"/>
        <v>445.47970716256191</v>
      </c>
      <c r="AB43" s="26">
        <f t="shared" si="19"/>
        <v>402.87397607598314</v>
      </c>
      <c r="AC43" s="26">
        <f t="shared" si="19"/>
        <v>433.22450981452653</v>
      </c>
      <c r="AD43" s="26">
        <f t="shared" si="19"/>
        <v>463.97823207880401</v>
      </c>
      <c r="AE43" s="26">
        <f t="shared" si="19"/>
        <v>495.14016705194081</v>
      </c>
      <c r="AF43" s="26">
        <f t="shared" si="19"/>
        <v>526.7153938383924</v>
      </c>
      <c r="AG43" s="26">
        <f t="shared" si="19"/>
        <v>-426.09200005352386</v>
      </c>
      <c r="AH43" s="26">
        <f t="shared" si="19"/>
        <v>-417.5555281442505</v>
      </c>
      <c r="AI43" s="26">
        <f t="shared" si="19"/>
        <v>-408.91003384432861</v>
      </c>
      <c r="AJ43" s="26">
        <f t="shared" si="19"/>
        <v>741.43818416092859</v>
      </c>
      <c r="AK43" s="26">
        <f t="shared" si="19"/>
        <v>777.45058996989542</v>
      </c>
      <c r="AL43" s="26">
        <f t="shared" si="19"/>
        <v>813.94203495841543</v>
      </c>
      <c r="AM43" s="26">
        <f t="shared" si="19"/>
        <v>850.91850412892768</v>
      </c>
      <c r="AN43" s="26">
        <f t="shared" si="19"/>
        <v>812.20010001599007</v>
      </c>
      <c r="AO43" s="26">
        <f t="shared" si="19"/>
        <v>850.16483629638128</v>
      </c>
      <c r="AP43" s="26">
        <f t="shared" si="19"/>
        <v>888.63294863854549</v>
      </c>
      <c r="AQ43" s="26">
        <f t="shared" si="19"/>
        <v>927.61068830838281</v>
      </c>
      <c r="AR43" s="26">
        <f t="shared" si="19"/>
        <v>967.10437439323709</v>
      </c>
      <c r="AS43" s="26">
        <f t="shared" si="19"/>
        <v>-225.55827644364194</v>
      </c>
      <c r="AT43" s="26">
        <f t="shared" si="19"/>
        <v>-214.90396034780883</v>
      </c>
      <c r="AU43" s="26">
        <f t="shared" si="19"/>
        <v>-204.11397871291479</v>
      </c>
      <c r="AV43" s="26">
        <f t="shared" si="19"/>
        <v>1236.1353308652695</v>
      </c>
      <c r="AW43" s="26">
        <f t="shared" si="19"/>
        <v>1281.1844576150886</v>
      </c>
      <c r="AX43" s="26">
        <f t="shared" si="19"/>
        <v>1326.8317037490303</v>
      </c>
      <c r="AY43" s="26">
        <f t="shared" si="19"/>
        <v>1373.0845170814143</v>
      </c>
    </row>
    <row r="44" spans="2:51" x14ac:dyDescent="0.35">
      <c r="B44" t="s">
        <v>120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>
        <f t="shared" ref="P44:AY44" si="20">-(P94+P97)+0</f>
        <v>-20</v>
      </c>
      <c r="Q44" s="22">
        <f t="shared" si="20"/>
        <v>-20</v>
      </c>
      <c r="R44" s="22">
        <f t="shared" si="20"/>
        <v>-20</v>
      </c>
      <c r="S44" s="22">
        <f t="shared" si="20"/>
        <v>-20</v>
      </c>
      <c r="T44" s="22">
        <f t="shared" si="20"/>
        <v>-20</v>
      </c>
      <c r="U44" s="22">
        <f t="shared" si="20"/>
        <v>-20</v>
      </c>
      <c r="V44" s="22">
        <f t="shared" si="20"/>
        <v>-20</v>
      </c>
      <c r="W44" s="22">
        <f t="shared" si="20"/>
        <v>-20</v>
      </c>
      <c r="X44" s="22">
        <f t="shared" si="20"/>
        <v>-20</v>
      </c>
      <c r="Y44" s="22">
        <f t="shared" si="20"/>
        <v>-20</v>
      </c>
      <c r="Z44" s="22">
        <f t="shared" si="20"/>
        <v>-20</v>
      </c>
      <c r="AA44" s="22">
        <f t="shared" si="20"/>
        <v>-20</v>
      </c>
      <c r="AB44" s="22">
        <f t="shared" si="20"/>
        <v>-12</v>
      </c>
      <c r="AC44" s="22">
        <f t="shared" si="20"/>
        <v>-12</v>
      </c>
      <c r="AD44" s="22">
        <f t="shared" si="20"/>
        <v>-12</v>
      </c>
      <c r="AE44" s="22">
        <f t="shared" si="20"/>
        <v>-12</v>
      </c>
      <c r="AF44" s="22">
        <f t="shared" si="20"/>
        <v>-12</v>
      </c>
      <c r="AG44" s="22">
        <f t="shared" si="20"/>
        <v>-12</v>
      </c>
      <c r="AH44" s="22">
        <f t="shared" si="20"/>
        <v>-12</v>
      </c>
      <c r="AI44" s="22">
        <f t="shared" si="20"/>
        <v>-12</v>
      </c>
      <c r="AJ44" s="22">
        <f t="shared" si="20"/>
        <v>-12</v>
      </c>
      <c r="AK44" s="22">
        <f t="shared" si="20"/>
        <v>-12</v>
      </c>
      <c r="AL44" s="22">
        <f t="shared" si="20"/>
        <v>-12</v>
      </c>
      <c r="AM44" s="22">
        <f t="shared" si="20"/>
        <v>-12</v>
      </c>
      <c r="AN44" s="22">
        <f t="shared" si="20"/>
        <v>-4</v>
      </c>
      <c r="AO44" s="22">
        <f t="shared" si="20"/>
        <v>-4</v>
      </c>
      <c r="AP44" s="22">
        <f t="shared" si="20"/>
        <v>-4</v>
      </c>
      <c r="AQ44" s="22">
        <f t="shared" si="20"/>
        <v>-4</v>
      </c>
      <c r="AR44" s="22">
        <f t="shared" si="20"/>
        <v>-4</v>
      </c>
      <c r="AS44" s="22">
        <f t="shared" si="20"/>
        <v>-4</v>
      </c>
      <c r="AT44" s="22">
        <f t="shared" si="20"/>
        <v>-4</v>
      </c>
      <c r="AU44" s="22">
        <f t="shared" si="20"/>
        <v>-4</v>
      </c>
      <c r="AV44" s="22">
        <f t="shared" si="20"/>
        <v>-4</v>
      </c>
      <c r="AW44" s="22">
        <f t="shared" si="20"/>
        <v>-4</v>
      </c>
      <c r="AX44" s="22">
        <f t="shared" si="20"/>
        <v>-4</v>
      </c>
      <c r="AY44" s="22">
        <f t="shared" si="20"/>
        <v>-4</v>
      </c>
    </row>
    <row r="45" spans="2:51" x14ac:dyDescent="0.35">
      <c r="B45" s="1" t="s">
        <v>121</v>
      </c>
      <c r="C45" s="1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>
        <f t="shared" ref="P45:AY45" si="21">SUM(P43,P44)</f>
        <v>-87.504669540229543</v>
      </c>
      <c r="Q45" s="26">
        <f t="shared" si="21"/>
        <v>-49.645023550646783</v>
      </c>
      <c r="R45" s="26">
        <f t="shared" si="21"/>
        <v>-9.5889536537599724</v>
      </c>
      <c r="S45" s="26">
        <f t="shared" si="21"/>
        <v>32.69259103151785</v>
      </c>
      <c r="T45" s="26">
        <f t="shared" si="21"/>
        <v>77.229033678880796</v>
      </c>
      <c r="U45" s="26">
        <f t="shared" si="21"/>
        <v>-636.1180812221935</v>
      </c>
      <c r="V45" s="26">
        <f t="shared" si="21"/>
        <v>-623.13873788233514</v>
      </c>
      <c r="W45" s="26">
        <f t="shared" si="21"/>
        <v>-609.5429765001561</v>
      </c>
      <c r="X45" s="26">
        <f t="shared" si="21"/>
        <v>309.27215286705473</v>
      </c>
      <c r="Y45" s="26">
        <f t="shared" si="21"/>
        <v>357.20289207779592</v>
      </c>
      <c r="Z45" s="26">
        <f t="shared" si="21"/>
        <v>395.92069553065289</v>
      </c>
      <c r="AA45" s="26">
        <f t="shared" si="21"/>
        <v>425.47970716256191</v>
      </c>
      <c r="AB45" s="26">
        <f t="shared" si="21"/>
        <v>390.87397607598314</v>
      </c>
      <c r="AC45" s="26">
        <f t="shared" si="21"/>
        <v>421.22450981452653</v>
      </c>
      <c r="AD45" s="26">
        <f t="shared" si="21"/>
        <v>451.97823207880401</v>
      </c>
      <c r="AE45" s="26">
        <f t="shared" si="21"/>
        <v>483.14016705194081</v>
      </c>
      <c r="AF45" s="26">
        <f t="shared" si="21"/>
        <v>514.7153938383924</v>
      </c>
      <c r="AG45" s="26">
        <f t="shared" si="21"/>
        <v>-438.09200005352386</v>
      </c>
      <c r="AH45" s="26">
        <f t="shared" si="21"/>
        <v>-429.5555281442505</v>
      </c>
      <c r="AI45" s="26">
        <f t="shared" si="21"/>
        <v>-420.91003384432861</v>
      </c>
      <c r="AJ45" s="26">
        <f t="shared" si="21"/>
        <v>729.43818416092859</v>
      </c>
      <c r="AK45" s="26">
        <f t="shared" si="21"/>
        <v>765.45058996989542</v>
      </c>
      <c r="AL45" s="26">
        <f t="shared" si="21"/>
        <v>801.94203495841543</v>
      </c>
      <c r="AM45" s="26">
        <f t="shared" si="21"/>
        <v>838.91850412892768</v>
      </c>
      <c r="AN45" s="26">
        <f t="shared" si="21"/>
        <v>808.20010001599007</v>
      </c>
      <c r="AO45" s="26">
        <f t="shared" si="21"/>
        <v>846.16483629638128</v>
      </c>
      <c r="AP45" s="26">
        <f t="shared" si="21"/>
        <v>884.63294863854549</v>
      </c>
      <c r="AQ45" s="26">
        <f t="shared" si="21"/>
        <v>923.61068830838281</v>
      </c>
      <c r="AR45" s="26">
        <f t="shared" si="21"/>
        <v>963.10437439323709</v>
      </c>
      <c r="AS45" s="26">
        <f t="shared" si="21"/>
        <v>-229.55827644364194</v>
      </c>
      <c r="AT45" s="26">
        <f t="shared" si="21"/>
        <v>-218.90396034780883</v>
      </c>
      <c r="AU45" s="26">
        <f t="shared" si="21"/>
        <v>-208.11397871291479</v>
      </c>
      <c r="AV45" s="26">
        <f t="shared" si="21"/>
        <v>1232.1353308652695</v>
      </c>
      <c r="AW45" s="26">
        <f t="shared" si="21"/>
        <v>1277.1844576150886</v>
      </c>
      <c r="AX45" s="26">
        <f t="shared" si="21"/>
        <v>1322.8317037490303</v>
      </c>
      <c r="AY45" s="26">
        <f t="shared" si="21"/>
        <v>1369.0845170814143</v>
      </c>
    </row>
    <row r="46" spans="2:51" x14ac:dyDescent="0.35">
      <c r="B46" t="s">
        <v>122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>
        <f>-(Предпосылки!$C$65*Предпосылки!$C$66/12)+0</f>
        <v>-30</v>
      </c>
      <c r="Q46" s="22">
        <f>-(Предпосылки!$C$65*Предпосылки!$C$66/12)+0</f>
        <v>-30</v>
      </c>
      <c r="R46" s="22">
        <f>-(Предпосылки!$C$65*Предпосылки!$C$66/12)+0</f>
        <v>-30</v>
      </c>
      <c r="S46" s="22">
        <f>-(Предпосылки!$C$65*Предпосылки!$C$66/12)+0</f>
        <v>-30</v>
      </c>
      <c r="T46" s="22">
        <f>-(Предпосылки!$C$65*Предпосылки!$C$66/12)+0</f>
        <v>-30</v>
      </c>
      <c r="U46" s="22">
        <f>-(Предпосылки!$C$65*Предпосылки!$C$66/12)+0</f>
        <v>-30</v>
      </c>
      <c r="V46" s="22">
        <f>-(Предпосылки!$C$65*Предпосылки!$C$66/12)+0</f>
        <v>-30</v>
      </c>
      <c r="W46" s="22">
        <f>-(Предпосылки!$C$65*Предпосылки!$C$66/12)+0</f>
        <v>-30</v>
      </c>
      <c r="X46" s="22">
        <f>-(Предпосылки!$C$65*Предпосылки!$C$66/12)+0</f>
        <v>-30</v>
      </c>
      <c r="Y46" s="22">
        <f>-(Предпосылки!$C$65*Предпосылки!$C$66/12)+0</f>
        <v>-30</v>
      </c>
      <c r="Z46" s="22">
        <f>-(Предпосылки!$C$65*Предпосылки!$C$66/12)+0</f>
        <v>-30</v>
      </c>
      <c r="AA46" s="22">
        <f>-(Предпосылки!$C$65*Предпосылки!$C$66/12)+0</f>
        <v>-30</v>
      </c>
      <c r="AB46" s="22">
        <f>-(Предпосылки!$C$65*Предпосылки!$C$66/12)+0</f>
        <v>-30</v>
      </c>
      <c r="AC46" s="22">
        <f>-(Предпосылки!$C$65*Предпосылки!$C$66/12)+0</f>
        <v>-30</v>
      </c>
      <c r="AD46" s="22">
        <f>-(Предпосылки!$C$65*Предпосылки!$C$66/12)+0</f>
        <v>-30</v>
      </c>
      <c r="AE46" s="22">
        <f>-(Предпосылки!$C$65*Предпосылки!$C$66/12)+0</f>
        <v>-30</v>
      </c>
      <c r="AF46" s="22">
        <f>-(Предпосылки!$C$65*Предпосылки!$C$66/12)+0</f>
        <v>-30</v>
      </c>
      <c r="AG46" s="22">
        <f>-(Предпосылки!$C$65*Предпосылки!$C$66/12)+0</f>
        <v>-30</v>
      </c>
      <c r="AH46" s="22">
        <f>-(Предпосылки!$C$65*Предпосылки!$C$66/12)+0</f>
        <v>-30</v>
      </c>
      <c r="AI46" s="22">
        <f>-(Предпосылки!$C$65*Предпосылки!$C$66/12)+0</f>
        <v>-30</v>
      </c>
      <c r="AJ46" s="22">
        <f>-(Предпосылки!$C$65*Предпосылки!$C$66/12)+0</f>
        <v>-30</v>
      </c>
      <c r="AK46" s="22">
        <f>-(Предпосылки!$C$65*Предпосылки!$C$66/12)+0</f>
        <v>-30</v>
      </c>
      <c r="AL46" s="22">
        <f>-(Предпосылки!$C$65*Предпосылки!$C$66/12)+0</f>
        <v>-30</v>
      </c>
      <c r="AM46" s="22">
        <f>-(Предпосылки!$C$65*Предпосылки!$C$66/12)+0</f>
        <v>-30</v>
      </c>
      <c r="AN46" s="22">
        <f>-(Предпосылки!$C$65*Предпосылки!$C$66/12)+0</f>
        <v>-30</v>
      </c>
      <c r="AO46" s="22">
        <f>-(Предпосылки!$C$65*Предпосылки!$C$66/12)+0</f>
        <v>-30</v>
      </c>
      <c r="AP46" s="22">
        <f>-(Предпосылки!$C$65*Предпосылки!$C$66/12)+0</f>
        <v>-30</v>
      </c>
      <c r="AQ46" s="22">
        <f>-(Предпосылки!$C$65*Предпосылки!$C$66/12)+0</f>
        <v>-30</v>
      </c>
      <c r="AR46" s="22">
        <f>-(Предпосылки!$C$65*Предпосылки!$C$66/12)+0</f>
        <v>-30</v>
      </c>
      <c r="AS46" s="22">
        <f>-(Предпосылки!$C$65*Предпосылки!$C$66/12)+0</f>
        <v>-30</v>
      </c>
      <c r="AT46" s="22">
        <f>-(Предпосылки!$C$65*Предпосылки!$C$66/12)+0</f>
        <v>-30</v>
      </c>
      <c r="AU46" s="22">
        <f>-(Предпосылки!$C$65*Предпосылки!$C$66/12)+0</f>
        <v>-30</v>
      </c>
      <c r="AV46" s="22">
        <f>-(Предпосылки!$C$65*Предпосылки!$C$66/12)+0</f>
        <v>-30</v>
      </c>
      <c r="AW46" s="22">
        <f>-(Предпосылки!$C$65*Предпосылки!$C$66/12)+0</f>
        <v>-30</v>
      </c>
      <c r="AX46" s="22">
        <f>-(Предпосылки!$C$65*Предпосылки!$C$66/12)+0</f>
        <v>-30</v>
      </c>
      <c r="AY46" s="22">
        <f>-(Предпосылки!$C$65*Предпосылки!$C$66/12)+0</f>
        <v>-30</v>
      </c>
    </row>
    <row r="47" spans="2:51" x14ac:dyDescent="0.35">
      <c r="B47" s="1" t="s">
        <v>123</v>
      </c>
      <c r="C47" s="1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>
        <f t="shared" ref="P47:AY47" si="22">SUM(P45,P46)</f>
        <v>-117.50466954022954</v>
      </c>
      <c r="Q47" s="26">
        <f t="shared" si="22"/>
        <v>-79.645023550646783</v>
      </c>
      <c r="R47" s="26">
        <f t="shared" si="22"/>
        <v>-39.588953653759972</v>
      </c>
      <c r="S47" s="26">
        <f t="shared" si="22"/>
        <v>2.6925910315178498</v>
      </c>
      <c r="T47" s="26">
        <f t="shared" si="22"/>
        <v>47.229033678880796</v>
      </c>
      <c r="U47" s="26">
        <f t="shared" si="22"/>
        <v>-666.1180812221935</v>
      </c>
      <c r="V47" s="26">
        <f t="shared" si="22"/>
        <v>-653.13873788233514</v>
      </c>
      <c r="W47" s="26">
        <f t="shared" si="22"/>
        <v>-639.5429765001561</v>
      </c>
      <c r="X47" s="26">
        <f t="shared" si="22"/>
        <v>279.27215286705473</v>
      </c>
      <c r="Y47" s="26">
        <f t="shared" si="22"/>
        <v>327.20289207779592</v>
      </c>
      <c r="Z47" s="26">
        <f t="shared" si="22"/>
        <v>365.92069553065289</v>
      </c>
      <c r="AA47" s="26">
        <f t="shared" si="22"/>
        <v>395.47970716256191</v>
      </c>
      <c r="AB47" s="26">
        <f t="shared" si="22"/>
        <v>360.87397607598314</v>
      </c>
      <c r="AC47" s="26">
        <f t="shared" si="22"/>
        <v>391.22450981452653</v>
      </c>
      <c r="AD47" s="26">
        <f t="shared" si="22"/>
        <v>421.97823207880401</v>
      </c>
      <c r="AE47" s="26">
        <f t="shared" si="22"/>
        <v>453.14016705194081</v>
      </c>
      <c r="AF47" s="26">
        <f t="shared" si="22"/>
        <v>484.7153938383924</v>
      </c>
      <c r="AG47" s="26">
        <f t="shared" si="22"/>
        <v>-468.09200005352386</v>
      </c>
      <c r="AH47" s="26">
        <f t="shared" si="22"/>
        <v>-459.5555281442505</v>
      </c>
      <c r="AI47" s="26">
        <f t="shared" si="22"/>
        <v>-450.91003384432861</v>
      </c>
      <c r="AJ47" s="26">
        <f t="shared" si="22"/>
        <v>699.43818416092859</v>
      </c>
      <c r="AK47" s="26">
        <f t="shared" si="22"/>
        <v>735.45058996989542</v>
      </c>
      <c r="AL47" s="26">
        <f t="shared" si="22"/>
        <v>771.94203495841543</v>
      </c>
      <c r="AM47" s="26">
        <f t="shared" si="22"/>
        <v>808.91850412892768</v>
      </c>
      <c r="AN47" s="26">
        <f t="shared" si="22"/>
        <v>778.20010001599007</v>
      </c>
      <c r="AO47" s="26">
        <f t="shared" si="22"/>
        <v>816.16483629638128</v>
      </c>
      <c r="AP47" s="26">
        <f t="shared" si="22"/>
        <v>854.63294863854549</v>
      </c>
      <c r="AQ47" s="26">
        <f t="shared" si="22"/>
        <v>893.61068830838281</v>
      </c>
      <c r="AR47" s="26">
        <f t="shared" si="22"/>
        <v>933.10437439323709</v>
      </c>
      <c r="AS47" s="26">
        <f t="shared" si="22"/>
        <v>-259.55827644364194</v>
      </c>
      <c r="AT47" s="26">
        <f t="shared" si="22"/>
        <v>-248.90396034780883</v>
      </c>
      <c r="AU47" s="26">
        <f t="shared" si="22"/>
        <v>-238.11397871291479</v>
      </c>
      <c r="AV47" s="26">
        <f t="shared" si="22"/>
        <v>1202.1353308652695</v>
      </c>
      <c r="AW47" s="26">
        <f t="shared" si="22"/>
        <v>1247.1844576150886</v>
      </c>
      <c r="AX47" s="26">
        <f t="shared" si="22"/>
        <v>1292.8317037490303</v>
      </c>
      <c r="AY47" s="26">
        <f t="shared" si="22"/>
        <v>1339.0845170814143</v>
      </c>
    </row>
    <row r="48" spans="2:51" x14ac:dyDescent="0.35">
      <c r="B48" t="s">
        <v>71</v>
      </c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>
        <f t="shared" ref="P48:AY48" si="23">-(P107)+0</f>
        <v>0</v>
      </c>
      <c r="Q48" s="22">
        <f t="shared" si="23"/>
        <v>0</v>
      </c>
      <c r="R48" s="22">
        <f t="shared" si="23"/>
        <v>0</v>
      </c>
      <c r="S48" s="22">
        <f t="shared" si="23"/>
        <v>0</v>
      </c>
      <c r="T48" s="22">
        <f t="shared" si="23"/>
        <v>0</v>
      </c>
      <c r="U48" s="22">
        <f t="shared" si="23"/>
        <v>0</v>
      </c>
      <c r="V48" s="22">
        <f t="shared" si="23"/>
        <v>0</v>
      </c>
      <c r="W48" s="22">
        <f t="shared" si="23"/>
        <v>0</v>
      </c>
      <c r="X48" s="22">
        <f t="shared" si="23"/>
        <v>0</v>
      </c>
      <c r="Y48" s="22">
        <f t="shared" si="23"/>
        <v>0</v>
      </c>
      <c r="Z48" s="22">
        <f t="shared" si="23"/>
        <v>0</v>
      </c>
      <c r="AA48" s="22">
        <f t="shared" si="23"/>
        <v>0</v>
      </c>
      <c r="AB48" s="22">
        <f t="shared" si="23"/>
        <v>0</v>
      </c>
      <c r="AC48" s="22">
        <f t="shared" si="23"/>
        <v>0</v>
      </c>
      <c r="AD48" s="22">
        <f t="shared" si="23"/>
        <v>0</v>
      </c>
      <c r="AE48" s="22">
        <f t="shared" si="23"/>
        <v>0</v>
      </c>
      <c r="AF48" s="22">
        <f t="shared" si="23"/>
        <v>0</v>
      </c>
      <c r="AG48" s="22">
        <f t="shared" si="23"/>
        <v>0</v>
      </c>
      <c r="AH48" s="22">
        <f t="shared" si="23"/>
        <v>0</v>
      </c>
      <c r="AI48" s="22">
        <f t="shared" si="23"/>
        <v>0</v>
      </c>
      <c r="AJ48" s="22">
        <f t="shared" si="23"/>
        <v>0</v>
      </c>
      <c r="AK48" s="22">
        <f t="shared" si="23"/>
        <v>0</v>
      </c>
      <c r="AL48" s="22">
        <f t="shared" si="23"/>
        <v>-32.492831181185011</v>
      </c>
      <c r="AM48" s="22">
        <f t="shared" si="23"/>
        <v>-161.78370082578556</v>
      </c>
      <c r="AN48" s="22">
        <f t="shared" si="23"/>
        <v>-155.64002000319803</v>
      </c>
      <c r="AO48" s="22">
        <f t="shared" si="23"/>
        <v>-163.23296725927628</v>
      </c>
      <c r="AP48" s="22">
        <f t="shared" si="23"/>
        <v>-170.92658972770911</v>
      </c>
      <c r="AQ48" s="22">
        <f t="shared" si="23"/>
        <v>-178.72213766167658</v>
      </c>
      <c r="AR48" s="22">
        <f t="shared" si="23"/>
        <v>-186.62087487864744</v>
      </c>
      <c r="AS48" s="22">
        <f t="shared" si="23"/>
        <v>0</v>
      </c>
      <c r="AT48" s="22">
        <f t="shared" si="23"/>
        <v>0</v>
      </c>
      <c r="AU48" s="22">
        <f t="shared" si="23"/>
        <v>0</v>
      </c>
      <c r="AV48" s="22">
        <f t="shared" si="23"/>
        <v>-240.4270661730539</v>
      </c>
      <c r="AW48" s="22">
        <f t="shared" si="23"/>
        <v>-249.43689152301772</v>
      </c>
      <c r="AX48" s="22">
        <f t="shared" si="23"/>
        <v>-258.5663407498061</v>
      </c>
      <c r="AY48" s="22">
        <f t="shared" si="23"/>
        <v>-267.81690341628286</v>
      </c>
    </row>
    <row r="49" spans="2:51" x14ac:dyDescent="0.35">
      <c r="B49" s="27" t="s">
        <v>124</v>
      </c>
      <c r="C49" s="27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>
        <f t="shared" ref="P49:AY49" si="24">SUM(P47,P48)</f>
        <v>-117.50466954022954</v>
      </c>
      <c r="Q49" s="28">
        <f t="shared" si="24"/>
        <v>-79.645023550646783</v>
      </c>
      <c r="R49" s="28">
        <f t="shared" si="24"/>
        <v>-39.588953653759972</v>
      </c>
      <c r="S49" s="28">
        <f t="shared" si="24"/>
        <v>2.6925910315178498</v>
      </c>
      <c r="T49" s="28">
        <f t="shared" si="24"/>
        <v>47.229033678880796</v>
      </c>
      <c r="U49" s="28">
        <f t="shared" si="24"/>
        <v>-666.1180812221935</v>
      </c>
      <c r="V49" s="28">
        <f t="shared" si="24"/>
        <v>-653.13873788233514</v>
      </c>
      <c r="W49" s="28">
        <f t="shared" si="24"/>
        <v>-639.5429765001561</v>
      </c>
      <c r="X49" s="28">
        <f t="shared" si="24"/>
        <v>279.27215286705473</v>
      </c>
      <c r="Y49" s="28">
        <f t="shared" si="24"/>
        <v>327.20289207779592</v>
      </c>
      <c r="Z49" s="28">
        <f t="shared" si="24"/>
        <v>365.92069553065289</v>
      </c>
      <c r="AA49" s="28">
        <f t="shared" si="24"/>
        <v>395.47970716256191</v>
      </c>
      <c r="AB49" s="28">
        <f t="shared" si="24"/>
        <v>360.87397607598314</v>
      </c>
      <c r="AC49" s="28">
        <f t="shared" si="24"/>
        <v>391.22450981452653</v>
      </c>
      <c r="AD49" s="28">
        <f t="shared" si="24"/>
        <v>421.97823207880401</v>
      </c>
      <c r="AE49" s="28">
        <f t="shared" si="24"/>
        <v>453.14016705194081</v>
      </c>
      <c r="AF49" s="28">
        <f t="shared" si="24"/>
        <v>484.7153938383924</v>
      </c>
      <c r="AG49" s="28">
        <f t="shared" si="24"/>
        <v>-468.09200005352386</v>
      </c>
      <c r="AH49" s="28">
        <f t="shared" si="24"/>
        <v>-459.5555281442505</v>
      </c>
      <c r="AI49" s="28">
        <f t="shared" si="24"/>
        <v>-450.91003384432861</v>
      </c>
      <c r="AJ49" s="28">
        <f t="shared" si="24"/>
        <v>699.43818416092859</v>
      </c>
      <c r="AK49" s="28">
        <f t="shared" si="24"/>
        <v>735.45058996989542</v>
      </c>
      <c r="AL49" s="28">
        <f t="shared" si="24"/>
        <v>739.44920377723042</v>
      </c>
      <c r="AM49" s="28">
        <f t="shared" si="24"/>
        <v>647.13480330314212</v>
      </c>
      <c r="AN49" s="28">
        <f t="shared" si="24"/>
        <v>622.56008001279201</v>
      </c>
      <c r="AO49" s="28">
        <f t="shared" si="24"/>
        <v>652.931869037105</v>
      </c>
      <c r="AP49" s="28">
        <f t="shared" si="24"/>
        <v>683.70635891083634</v>
      </c>
      <c r="AQ49" s="28">
        <f t="shared" si="24"/>
        <v>714.88855064670622</v>
      </c>
      <c r="AR49" s="28">
        <f t="shared" si="24"/>
        <v>746.48349951458965</v>
      </c>
      <c r="AS49" s="28">
        <f t="shared" si="24"/>
        <v>-259.55827644364194</v>
      </c>
      <c r="AT49" s="28">
        <f t="shared" si="24"/>
        <v>-248.90396034780883</v>
      </c>
      <c r="AU49" s="28">
        <f t="shared" si="24"/>
        <v>-238.11397871291479</v>
      </c>
      <c r="AV49" s="28">
        <f t="shared" si="24"/>
        <v>961.70826469221561</v>
      </c>
      <c r="AW49" s="28">
        <f t="shared" si="24"/>
        <v>997.74756609207088</v>
      </c>
      <c r="AX49" s="28">
        <f t="shared" si="24"/>
        <v>1034.2653629992242</v>
      </c>
      <c r="AY49" s="28">
        <f t="shared" si="24"/>
        <v>1071.2676136651314</v>
      </c>
    </row>
    <row r="51" spans="2:51" x14ac:dyDescent="0.35">
      <c r="B51" s="20" t="s">
        <v>125</v>
      </c>
      <c r="C51" s="20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</row>
    <row r="52" spans="2:51" x14ac:dyDescent="0.35">
      <c r="B52" t="s">
        <v>126</v>
      </c>
      <c r="C52" t="s">
        <v>28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>
        <f>Предпосылки!$C$38</f>
        <v>0.8</v>
      </c>
      <c r="Q52" s="25">
        <f>IF(MOD(MONTH(Q$1)-Предпосылки!$C$45,Предпосылки!$C$44)=0,P52*(1+Предпосылки!$C$43),P52)</f>
        <v>0.80399999999999994</v>
      </c>
      <c r="R52" s="25">
        <f>IF(MOD(MONTH(R$1)-Предпосылки!$C$45,Предпосылки!$C$44)=0,Q52*(1+Предпосылки!$C$43),Q52)</f>
        <v>0.80801999999999985</v>
      </c>
      <c r="S52" s="25">
        <f>IF(MOD(MONTH(S$1)-Предпосылки!$C$45,Предпосылки!$C$44)=0,R52*(1+Предпосылки!$C$43),R52)</f>
        <v>0.81206009999999973</v>
      </c>
      <c r="T52" s="25">
        <f>IF(MOD(MONTH(T$1)-Предпосылки!$C$45,Предпосылки!$C$44)=0,S52*(1+Предпосылки!$C$43),S52)</f>
        <v>0.81612040049999968</v>
      </c>
      <c r="U52" s="25">
        <f>IF(MOD(MONTH(U$1)-Предпосылки!$C$45,Предпосылки!$C$44)=0,T52*(1+Предпосылки!$C$43),T52)</f>
        <v>0.82020100250249961</v>
      </c>
      <c r="V52" s="25">
        <f>IF(MOD(MONTH(V$1)-Предпосылки!$C$45,Предпосылки!$C$44)=0,U52*(1+Предпосылки!$C$43),U52)</f>
        <v>0.82430200751501204</v>
      </c>
      <c r="W52" s="25">
        <f>IF(MOD(MONTH(W$1)-Предпосылки!$C$45,Предпосылки!$C$44)=0,V52*(1+Предпосылки!$C$43),V52)</f>
        <v>0.82842351755258703</v>
      </c>
      <c r="X52" s="25">
        <f>IF(MOD(MONTH(X$1)-Предпосылки!$C$45,Предпосылки!$C$44)=0,W52*(1+Предпосылки!$C$43),W52)</f>
        <v>0.83256563514034987</v>
      </c>
      <c r="Y52" s="25">
        <f>IF(MOD(MONTH(Y$1)-Предпосылки!$C$45,Предпосылки!$C$44)=0,X52*(1+Предпосылки!$C$43),X52)</f>
        <v>0.83672846331605155</v>
      </c>
      <c r="Z52" s="25">
        <f>IF(MOD(MONTH(Z$1)-Предпосылки!$C$45,Предпосылки!$C$44)=0,Y52*(1+Предпосылки!$C$43),Y52)</f>
        <v>0.84091210563263175</v>
      </c>
      <c r="AA52" s="25">
        <f>IF(MOD(MONTH(AA$1)-Предпосылки!$C$45,Предпосылки!$C$44)=0,Z52*(1+Предпосылки!$C$43),Z52)</f>
        <v>0.84511666616079484</v>
      </c>
      <c r="AB52" s="25">
        <f>IF(MOD(MONTH(AB$1)-Предпосылки!$C$45,Предпосылки!$C$44)=0,AA52*(1+Предпосылки!$C$43),AA52)</f>
        <v>0.84934224949159876</v>
      </c>
      <c r="AC52" s="25">
        <f>IF(MOD(MONTH(AC$1)-Предпосылки!$C$45,Предпосылки!$C$44)=0,AB52*(1+Предпосылки!$C$43),AB52)</f>
        <v>0.85358896073905666</v>
      </c>
      <c r="AD52" s="25">
        <f>IF(MOD(MONTH(AD$1)-Предпосылки!$C$45,Предпосылки!$C$44)=0,AC52*(1+Предпосылки!$C$43),AC52)</f>
        <v>0.85785690554275185</v>
      </c>
      <c r="AE52" s="25">
        <f>IF(MOD(MONTH(AE$1)-Предпосылки!$C$45,Предпосылки!$C$44)=0,AD52*(1+Предпосылки!$C$43),AD52)</f>
        <v>0.86214619007046556</v>
      </c>
      <c r="AF52" s="25">
        <f>IF(MOD(MONTH(AF$1)-Предпосылки!$C$45,Предпосылки!$C$44)=0,AE52*(1+Предпосылки!$C$43),AE52)</f>
        <v>0.86645692102081784</v>
      </c>
      <c r="AG52" s="25">
        <f>IF(MOD(MONTH(AG$1)-Предпосылки!$C$45,Предпосылки!$C$44)=0,AF52*(1+Предпосылки!$C$43),AF52)</f>
        <v>0.87078920562592188</v>
      </c>
      <c r="AH52" s="25">
        <f>IF(MOD(MONTH(AH$1)-Предпосылки!$C$45,Предпосылки!$C$44)=0,AG52*(1+Предпосылки!$C$43),AG52)</f>
        <v>0.87514315165405143</v>
      </c>
      <c r="AI52" s="25">
        <f>IF(MOD(MONTH(AI$1)-Предпосылки!$C$45,Предпосылки!$C$44)=0,AH52*(1+Предпосылки!$C$43),AH52)</f>
        <v>0.87951886741232155</v>
      </c>
      <c r="AJ52" s="25">
        <f>IF(MOD(MONTH(AJ$1)-Предпосылки!$C$45,Предпосылки!$C$44)=0,AI52*(1+Предпосылки!$C$43),AI52)</f>
        <v>0.8839164617493831</v>
      </c>
      <c r="AK52" s="25">
        <f>IF(MOD(MONTH(AK$1)-Предпосылки!$C$45,Предпосылки!$C$44)=0,AJ52*(1+Предпосылки!$C$43),AJ52)</f>
        <v>0.88833604405812994</v>
      </c>
      <c r="AL52" s="25">
        <f>IF(MOD(MONTH(AL$1)-Предпосылки!$C$45,Предпосылки!$C$44)=0,AK52*(1+Предпосылки!$C$43),AK52)</f>
        <v>0.8927777242784205</v>
      </c>
      <c r="AM52" s="25">
        <f>IF(MOD(MONTH(AM$1)-Предпосылки!$C$45,Предпосылки!$C$44)=0,AL52*(1+Предпосылки!$C$43),AL52)</f>
        <v>0.89724161289981252</v>
      </c>
      <c r="AN52" s="25">
        <f>IF(MOD(MONTH(AN$1)-Предпосылки!$C$45,Предпосылки!$C$44)=0,AM52*(1+Предпосылки!$C$43),AM52)</f>
        <v>0.90172782096431148</v>
      </c>
      <c r="AO52" s="25">
        <f>IF(MOD(MONTH(AO$1)-Предпосылки!$C$45,Предпосылки!$C$44)=0,AN52*(1+Предпосылки!$C$43),AN52)</f>
        <v>0.90623646006913294</v>
      </c>
      <c r="AP52" s="25">
        <f>IF(MOD(MONTH(AP$1)-Предпосылки!$C$45,Предпосылки!$C$44)=0,AO52*(1+Предпосылки!$C$43),AO52)</f>
        <v>0.91076764236947849</v>
      </c>
      <c r="AQ52" s="25">
        <f>IF(MOD(MONTH(AQ$1)-Предпосылки!$C$45,Предпосылки!$C$44)=0,AP52*(1+Предпосылки!$C$43),AP52)</f>
        <v>0.91532148058132579</v>
      </c>
      <c r="AR52" s="25">
        <f>IF(MOD(MONTH(AR$1)-Предпосылки!$C$45,Предпосылки!$C$44)=0,AQ52*(1+Предпосылки!$C$43),AQ52)</f>
        <v>0.91989808798423234</v>
      </c>
      <c r="AS52" s="25">
        <f>IF(MOD(MONTH(AS$1)-Предпосылки!$C$45,Предпосылки!$C$44)=0,AR52*(1+Предпосылки!$C$43),AR52)</f>
        <v>0.92449757842415337</v>
      </c>
      <c r="AT52" s="25">
        <f>IF(MOD(MONTH(AT$1)-Предпосылки!$C$45,Предпосылки!$C$44)=0,AS52*(1+Предпосылки!$C$43),AS52)</f>
        <v>0.92912006631627408</v>
      </c>
      <c r="AU52" s="25">
        <f>IF(MOD(MONTH(AU$1)-Предпосылки!$C$45,Предпосылки!$C$44)=0,AT52*(1+Предпосылки!$C$43),AT52)</f>
        <v>0.93376566664785532</v>
      </c>
      <c r="AV52" s="25">
        <f>IF(MOD(MONTH(AV$1)-Предпосылки!$C$45,Предпосылки!$C$44)=0,AU52*(1+Предпосылки!$C$43),AU52)</f>
        <v>0.93843449498109455</v>
      </c>
      <c r="AW52" s="25">
        <f>IF(MOD(MONTH(AW$1)-Предпосылки!$C$45,Предпосылки!$C$44)=0,AV52*(1+Предпосылки!$C$43),AV52)</f>
        <v>0.94312666745599993</v>
      </c>
      <c r="AX52" s="25">
        <f>IF(MOD(MONTH(AX$1)-Предпосылки!$C$45,Предпосылки!$C$44)=0,AW52*(1+Предпосылки!$C$43),AW52)</f>
        <v>0.9478423007932798</v>
      </c>
      <c r="AY52" s="25">
        <f>IF(MOD(MONTH(AY$1)-Предпосылки!$C$45,Предпосылки!$C$44)=0,AX52*(1+Предпосылки!$C$43),AX52)</f>
        <v>0.95258151229724608</v>
      </c>
    </row>
    <row r="53" spans="2:51" x14ac:dyDescent="0.35">
      <c r="B53" t="s">
        <v>127</v>
      </c>
      <c r="C53" t="s">
        <v>28</v>
      </c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>
        <f>P52/(1+Предпосылки!$C$42)</f>
        <v>0.66666666666666674</v>
      </c>
      <c r="Q53" s="25">
        <f>Q52/(1+Предпосылки!$C$42)</f>
        <v>0.66999999999999993</v>
      </c>
      <c r="R53" s="25">
        <f>R52/(1+Предпосылки!$C$42)</f>
        <v>0.67334999999999989</v>
      </c>
      <c r="S53" s="25">
        <f>S52/(1+Предпосылки!$C$42)</f>
        <v>0.67671674999999976</v>
      </c>
      <c r="T53" s="25">
        <f>T52/(1+Предпосылки!$C$42)</f>
        <v>0.68010033374999979</v>
      </c>
      <c r="U53" s="25">
        <f>U52/(1+Предпосылки!$C$42)</f>
        <v>0.68350083541874973</v>
      </c>
      <c r="V53" s="25">
        <f>V52/(1+Предпосылки!$C$42)</f>
        <v>0.68691833959584336</v>
      </c>
      <c r="W53" s="25">
        <f>W52/(1+Предпосылки!$C$42)</f>
        <v>0.69035293129382258</v>
      </c>
      <c r="X53" s="25">
        <f>X52/(1+Предпосылки!$C$42)</f>
        <v>0.69380469595029159</v>
      </c>
      <c r="Y53" s="25">
        <f>Y52/(1+Предпосылки!$C$42)</f>
        <v>0.69727371943004302</v>
      </c>
      <c r="Z53" s="25">
        <f>Z52/(1+Предпосылки!$C$42)</f>
        <v>0.70076008802719314</v>
      </c>
      <c r="AA53" s="25">
        <f>AA52/(1+Предпосылки!$C$42)</f>
        <v>0.70426388846732901</v>
      </c>
      <c r="AB53" s="25">
        <f>AB52/(1+Предпосылки!$C$42)</f>
        <v>0.7077852079096657</v>
      </c>
      <c r="AC53" s="25">
        <f>AC52/(1+Предпосылки!$C$42)</f>
        <v>0.7113241339492139</v>
      </c>
      <c r="AD53" s="25">
        <f>AD52/(1+Предпосылки!$C$42)</f>
        <v>0.71488075461895995</v>
      </c>
      <c r="AE53" s="25">
        <f>AE52/(1+Предпосылки!$C$42)</f>
        <v>0.71845515839205465</v>
      </c>
      <c r="AF53" s="25">
        <f>AF52/(1+Предпосылки!$C$42)</f>
        <v>0.72204743418401485</v>
      </c>
      <c r="AG53" s="25">
        <f>AG52/(1+Предпосылки!$C$42)</f>
        <v>0.72565767135493497</v>
      </c>
      <c r="AH53" s="25">
        <f>AH52/(1+Предпосылки!$C$42)</f>
        <v>0.72928595971170951</v>
      </c>
      <c r="AI53" s="25">
        <f>AI52/(1+Предпосылки!$C$42)</f>
        <v>0.73293238951026796</v>
      </c>
      <c r="AJ53" s="25">
        <f>AJ52/(1+Предпосылки!$C$42)</f>
        <v>0.73659705145781929</v>
      </c>
      <c r="AK53" s="25">
        <f>AK52/(1+Предпосылки!$C$42)</f>
        <v>0.74028003671510834</v>
      </c>
      <c r="AL53" s="25">
        <f>AL52/(1+Предпосылки!$C$42)</f>
        <v>0.74398143689868379</v>
      </c>
      <c r="AM53" s="25">
        <f>AM52/(1+Предпосылки!$C$42)</f>
        <v>0.74770134408317712</v>
      </c>
      <c r="AN53" s="25">
        <f>AN52/(1+Предпосылки!$C$42)</f>
        <v>0.75143985080359288</v>
      </c>
      <c r="AO53" s="25">
        <f>AO52/(1+Предпосылки!$C$42)</f>
        <v>0.75519705005761084</v>
      </c>
      <c r="AP53" s="25">
        <f>AP52/(1+Предпосылки!$C$42)</f>
        <v>0.75897303530789872</v>
      </c>
      <c r="AQ53" s="25">
        <f>AQ52/(1+Предпосылки!$C$42)</f>
        <v>0.76276790048443821</v>
      </c>
      <c r="AR53" s="25">
        <f>AR52/(1+Предпосылки!$C$42)</f>
        <v>0.7665817399868603</v>
      </c>
      <c r="AS53" s="25">
        <f>AS52/(1+Предпосылки!$C$42)</f>
        <v>0.77041464868679455</v>
      </c>
      <c r="AT53" s="25">
        <f>AT52/(1+Предпосылки!$C$42)</f>
        <v>0.77426672193022839</v>
      </c>
      <c r="AU53" s="25">
        <f>AU52/(1+Предпосылки!$C$42)</f>
        <v>0.77813805553987947</v>
      </c>
      <c r="AV53" s="25">
        <f>AV52/(1+Предпосылки!$C$42)</f>
        <v>0.78202874581757886</v>
      </c>
      <c r="AW53" s="25">
        <f>AW52/(1+Предпосылки!$C$42)</f>
        <v>0.78593888954666669</v>
      </c>
      <c r="AX53" s="25">
        <f>AX52/(1+Предпосылки!$C$42)</f>
        <v>0.78986858399439985</v>
      </c>
      <c r="AY53" s="25">
        <f>AY52/(1+Предпосылки!$C$42)</f>
        <v>0.79381792691437181</v>
      </c>
    </row>
    <row r="54" spans="2:51" x14ac:dyDescent="0.35">
      <c r="B54" t="s">
        <v>128</v>
      </c>
      <c r="C54" t="s">
        <v>28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>
        <f>Предпосылки!$C$39</f>
        <v>0.4</v>
      </c>
      <c r="Q54" s="25">
        <f>IF(MOD(MONTH(Q$1)-Предпосылки!$C$45,Предпосылки!$C$44)=0,P54*(1+Предпосылки!$C$43),P54)</f>
        <v>0.40199999999999997</v>
      </c>
      <c r="R54" s="25">
        <f>IF(MOD(MONTH(R$1)-Предпосылки!$C$45,Предпосылки!$C$44)=0,Q54*(1+Предпосылки!$C$43),Q54)</f>
        <v>0.40400999999999992</v>
      </c>
      <c r="S54" s="25">
        <f>IF(MOD(MONTH(S$1)-Предпосылки!$C$45,Предпосылки!$C$44)=0,R54*(1+Предпосылки!$C$43),R54)</f>
        <v>0.40603004999999986</v>
      </c>
      <c r="T54" s="25">
        <f>IF(MOD(MONTH(T$1)-Предпосылки!$C$45,Предпосылки!$C$44)=0,S54*(1+Предпосылки!$C$43),S54)</f>
        <v>0.40806020024999984</v>
      </c>
      <c r="U54" s="25">
        <f>IF(MOD(MONTH(U$1)-Предпосылки!$C$45,Предпосылки!$C$44)=0,T54*(1+Предпосылки!$C$43),T54)</f>
        <v>0.4101005012512498</v>
      </c>
      <c r="V54" s="25">
        <f>IF(MOD(MONTH(V$1)-Предпосылки!$C$45,Предпосылки!$C$44)=0,U54*(1+Предпосылки!$C$43),U54)</f>
        <v>0.41215100375750602</v>
      </c>
      <c r="W54" s="25">
        <f>IF(MOD(MONTH(W$1)-Предпосылки!$C$45,Предпосылки!$C$44)=0,V54*(1+Предпосылки!$C$43),V54)</f>
        <v>0.41421175877629351</v>
      </c>
      <c r="X54" s="25">
        <f>IF(MOD(MONTH(X$1)-Предпосылки!$C$45,Предпосылки!$C$44)=0,W54*(1+Предпосылки!$C$43),W54)</f>
        <v>0.41628281757017493</v>
      </c>
      <c r="Y54" s="25">
        <f>IF(MOD(MONTH(Y$1)-Предпосылки!$C$45,Предпосылки!$C$44)=0,X54*(1+Предпосылки!$C$43),X54)</f>
        <v>0.41836423165802578</v>
      </c>
      <c r="Z54" s="25">
        <f>IF(MOD(MONTH(Z$1)-Предпосылки!$C$45,Предпосылки!$C$44)=0,Y54*(1+Предпосылки!$C$43),Y54)</f>
        <v>0.42045605281631587</v>
      </c>
      <c r="AA54" s="25">
        <f>IF(MOD(MONTH(AA$1)-Предпосылки!$C$45,Предпосылки!$C$44)=0,Z54*(1+Предпосылки!$C$43),Z54)</f>
        <v>0.42255833308039742</v>
      </c>
      <c r="AB54" s="25">
        <f>IF(MOD(MONTH(AB$1)-Предпосылки!$C$45,Предпосылки!$C$44)=0,AA54*(1+Предпосылки!$C$43),AA54)</f>
        <v>0.42467112474579938</v>
      </c>
      <c r="AC54" s="25">
        <f>IF(MOD(MONTH(AC$1)-Предпосылки!$C$45,Предпосылки!$C$44)=0,AB54*(1+Предпосылки!$C$43),AB54)</f>
        <v>0.42679448036952833</v>
      </c>
      <c r="AD54" s="25">
        <f>IF(MOD(MONTH(AD$1)-Предпосылки!$C$45,Предпосылки!$C$44)=0,AC54*(1+Предпосылки!$C$43),AC54)</f>
        <v>0.42892845277137592</v>
      </c>
      <c r="AE54" s="25">
        <f>IF(MOD(MONTH(AE$1)-Предпосылки!$C$45,Предпосылки!$C$44)=0,AD54*(1+Предпосылки!$C$43),AD54)</f>
        <v>0.43107309503523278</v>
      </c>
      <c r="AF54" s="25">
        <f>IF(MOD(MONTH(AF$1)-Предпосылки!$C$45,Предпосылки!$C$44)=0,AE54*(1+Предпосылки!$C$43),AE54)</f>
        <v>0.43322846051040892</v>
      </c>
      <c r="AG54" s="25">
        <f>IF(MOD(MONTH(AG$1)-Предпосылки!$C$45,Предпосылки!$C$44)=0,AF54*(1+Предпосылки!$C$43),AF54)</f>
        <v>0.43539460281296094</v>
      </c>
      <c r="AH54" s="25">
        <f>IF(MOD(MONTH(AH$1)-Предпосылки!$C$45,Предпосылки!$C$44)=0,AG54*(1+Предпосылки!$C$43),AG54)</f>
        <v>0.43757157582702572</v>
      </c>
      <c r="AI54" s="25">
        <f>IF(MOD(MONTH(AI$1)-Предпосылки!$C$45,Предпосылки!$C$44)=0,AH54*(1+Предпосылки!$C$43),AH54)</f>
        <v>0.43975943370616077</v>
      </c>
      <c r="AJ54" s="25">
        <f>IF(MOD(MONTH(AJ$1)-Предпосылки!$C$45,Предпосылки!$C$44)=0,AI54*(1+Предпосылки!$C$43),AI54)</f>
        <v>0.44195823087469155</v>
      </c>
      <c r="AK54" s="25">
        <f>IF(MOD(MONTH(AK$1)-Предпосылки!$C$45,Предпосылки!$C$44)=0,AJ54*(1+Предпосылки!$C$43),AJ54)</f>
        <v>0.44416802202906497</v>
      </c>
      <c r="AL54" s="25">
        <f>IF(MOD(MONTH(AL$1)-Предпосылки!$C$45,Предпосылки!$C$44)=0,AK54*(1+Предпосылки!$C$43),AK54)</f>
        <v>0.44638886213921025</v>
      </c>
      <c r="AM54" s="25">
        <f>IF(MOD(MONTH(AM$1)-Предпосылки!$C$45,Предпосылки!$C$44)=0,AL54*(1+Предпосылки!$C$43),AL54)</f>
        <v>0.44862080644990626</v>
      </c>
      <c r="AN54" s="25">
        <f>IF(MOD(MONTH(AN$1)-Предпосылки!$C$45,Предпосылки!$C$44)=0,AM54*(1+Предпосылки!$C$43),AM54)</f>
        <v>0.45086391048215574</v>
      </c>
      <c r="AO54" s="25">
        <f>IF(MOD(MONTH(AO$1)-Предпосылки!$C$45,Предпосылки!$C$44)=0,AN54*(1+Предпосылки!$C$43),AN54)</f>
        <v>0.45311823003456647</v>
      </c>
      <c r="AP54" s="25">
        <f>IF(MOD(MONTH(AP$1)-Предпосылки!$C$45,Предпосылки!$C$44)=0,AO54*(1+Предпосылки!$C$43),AO54)</f>
        <v>0.45538382118473925</v>
      </c>
      <c r="AQ54" s="25">
        <f>IF(MOD(MONTH(AQ$1)-Предпосылки!$C$45,Предпосылки!$C$44)=0,AP54*(1+Предпосылки!$C$43),AP54)</f>
        <v>0.45766074029066289</v>
      </c>
      <c r="AR54" s="25">
        <f>IF(MOD(MONTH(AR$1)-Предпосылки!$C$45,Предпосылки!$C$44)=0,AQ54*(1+Предпосылки!$C$43),AQ54)</f>
        <v>0.45994904399211617</v>
      </c>
      <c r="AS54" s="25">
        <f>IF(MOD(MONTH(AS$1)-Предпосылки!$C$45,Предпосылки!$C$44)=0,AR54*(1+Предпосылки!$C$43),AR54)</f>
        <v>0.46224878921207668</v>
      </c>
      <c r="AT54" s="25">
        <f>IF(MOD(MONTH(AT$1)-Предпосылки!$C$45,Предпосылки!$C$44)=0,AS54*(1+Предпосылки!$C$43),AS54)</f>
        <v>0.46456003315813704</v>
      </c>
      <c r="AU54" s="25">
        <f>IF(MOD(MONTH(AU$1)-Предпосылки!$C$45,Предпосылки!$C$44)=0,AT54*(1+Предпосылки!$C$43),AT54)</f>
        <v>0.46688283332392766</v>
      </c>
      <c r="AV54" s="25">
        <f>IF(MOD(MONTH(AV$1)-Предпосылки!$C$45,Предпосылки!$C$44)=0,AU54*(1+Предпосылки!$C$43),AU54)</f>
        <v>0.46921724749054727</v>
      </c>
      <c r="AW54" s="25">
        <f>IF(MOD(MONTH(AW$1)-Предпосылки!$C$45,Предпосылки!$C$44)=0,AV54*(1+Предпосылки!$C$43),AV54)</f>
        <v>0.47156333372799997</v>
      </c>
      <c r="AX54" s="25">
        <f>IF(MOD(MONTH(AX$1)-Предпосылки!$C$45,Предпосылки!$C$44)=0,AW54*(1+Предпосылки!$C$43),AW54)</f>
        <v>0.4739211503966399</v>
      </c>
      <c r="AY54" s="25">
        <f>IF(MOD(MONTH(AY$1)-Предпосылки!$C$45,Предпосылки!$C$44)=0,AX54*(1+Предпосылки!$C$43),AX54)</f>
        <v>0.47629075614862304</v>
      </c>
    </row>
    <row r="55" spans="2:51" x14ac:dyDescent="0.35">
      <c r="B55" t="s">
        <v>129</v>
      </c>
      <c r="C55" t="s">
        <v>28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>
        <f>P54/(1+Предпосылки!$C$42)</f>
        <v>0.33333333333333337</v>
      </c>
      <c r="Q55" s="25">
        <f>Q54/(1+Предпосылки!$C$42)</f>
        <v>0.33499999999999996</v>
      </c>
      <c r="R55" s="25">
        <f>R54/(1+Предпосылки!$C$42)</f>
        <v>0.33667499999999995</v>
      </c>
      <c r="S55" s="25">
        <f>S54/(1+Предпосылки!$C$42)</f>
        <v>0.33835837499999988</v>
      </c>
      <c r="T55" s="25">
        <f>T54/(1+Предпосылки!$C$42)</f>
        <v>0.34005016687499989</v>
      </c>
      <c r="U55" s="25">
        <f>U54/(1+Предпосылки!$C$42)</f>
        <v>0.34175041770937487</v>
      </c>
      <c r="V55" s="25">
        <f>V54/(1+Предпосылки!$C$42)</f>
        <v>0.34345916979792168</v>
      </c>
      <c r="W55" s="25">
        <f>W54/(1+Предпосылки!$C$42)</f>
        <v>0.34517646564691129</v>
      </c>
      <c r="X55" s="25">
        <f>X54/(1+Предпосылки!$C$42)</f>
        <v>0.3469023479751458</v>
      </c>
      <c r="Y55" s="25">
        <f>Y54/(1+Предпосылки!$C$42)</f>
        <v>0.34863685971502151</v>
      </c>
      <c r="Z55" s="25">
        <f>Z54/(1+Предпосылки!$C$42)</f>
        <v>0.35038004401359657</v>
      </c>
      <c r="AA55" s="25">
        <f>AA54/(1+Предпосылки!$C$42)</f>
        <v>0.35213194423366451</v>
      </c>
      <c r="AB55" s="25">
        <f>AB54/(1+Предпосылки!$C$42)</f>
        <v>0.35389260395483285</v>
      </c>
      <c r="AC55" s="25">
        <f>AC54/(1+Предпосылки!$C$42)</f>
        <v>0.35566206697460695</v>
      </c>
      <c r="AD55" s="25">
        <f>AD54/(1+Предпосылки!$C$42)</f>
        <v>0.35744037730947997</v>
      </c>
      <c r="AE55" s="25">
        <f>AE54/(1+Предпосылки!$C$42)</f>
        <v>0.35922757919602732</v>
      </c>
      <c r="AF55" s="25">
        <f>AF54/(1+Предпосылки!$C$42)</f>
        <v>0.36102371709200742</v>
      </c>
      <c r="AG55" s="25">
        <f>AG54/(1+Предпосылки!$C$42)</f>
        <v>0.36282883567746749</v>
      </c>
      <c r="AH55" s="25">
        <f>AH54/(1+Предпосылки!$C$42)</f>
        <v>0.36464297985585475</v>
      </c>
      <c r="AI55" s="25">
        <f>AI54/(1+Предпосылки!$C$42)</f>
        <v>0.36646619475513398</v>
      </c>
      <c r="AJ55" s="25">
        <f>AJ54/(1+Предпосылки!$C$42)</f>
        <v>0.36829852572890964</v>
      </c>
      <c r="AK55" s="25">
        <f>AK54/(1+Предпосылки!$C$42)</f>
        <v>0.37014001835755417</v>
      </c>
      <c r="AL55" s="25">
        <f>AL54/(1+Предпосылки!$C$42)</f>
        <v>0.3719907184493419</v>
      </c>
      <c r="AM55" s="25">
        <f>AM54/(1+Предпосылки!$C$42)</f>
        <v>0.37385067204158856</v>
      </c>
      <c r="AN55" s="25">
        <f>AN54/(1+Предпосылки!$C$42)</f>
        <v>0.37571992540179644</v>
      </c>
      <c r="AO55" s="25">
        <f>AO54/(1+Предпосылки!$C$42)</f>
        <v>0.37759852502880542</v>
      </c>
      <c r="AP55" s="25">
        <f>AP54/(1+Предпосылки!$C$42)</f>
        <v>0.37948651765394936</v>
      </c>
      <c r="AQ55" s="25">
        <f>AQ54/(1+Предпосылки!$C$42)</f>
        <v>0.38138395024221911</v>
      </c>
      <c r="AR55" s="25">
        <f>AR54/(1+Предпосылки!$C$42)</f>
        <v>0.38329086999343015</v>
      </c>
      <c r="AS55" s="25">
        <f>AS54/(1+Предпосылки!$C$42)</f>
        <v>0.38520732434339727</v>
      </c>
      <c r="AT55" s="25">
        <f>AT54/(1+Предпосылки!$C$42)</f>
        <v>0.38713336096511419</v>
      </c>
      <c r="AU55" s="25">
        <f>AU54/(1+Предпосылки!$C$42)</f>
        <v>0.38906902776993973</v>
      </c>
      <c r="AV55" s="25">
        <f>AV54/(1+Предпосылки!$C$42)</f>
        <v>0.39101437290878943</v>
      </c>
      <c r="AW55" s="25">
        <f>AW54/(1+Предпосылки!$C$42)</f>
        <v>0.39296944477333334</v>
      </c>
      <c r="AX55" s="25">
        <f>AX54/(1+Предпосылки!$C$42)</f>
        <v>0.39493429199719993</v>
      </c>
      <c r="AY55" s="25">
        <f>AY54/(1+Предпосылки!$C$42)</f>
        <v>0.3969089634571859</v>
      </c>
    </row>
    <row r="56" spans="2:51" x14ac:dyDescent="0.35">
      <c r="B56" t="s">
        <v>130</v>
      </c>
      <c r="C56" t="s">
        <v>14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>
        <f t="shared" ref="P56:AY56" si="25">P17*(P52+P54)/1000</f>
        <v>158.34</v>
      </c>
      <c r="Q56" s="22">
        <f t="shared" si="25"/>
        <v>161.51867549999992</v>
      </c>
      <c r="R56" s="22">
        <f t="shared" si="25"/>
        <v>164.76116291066239</v>
      </c>
      <c r="S56" s="22">
        <f t="shared" si="25"/>
        <v>168.06874325609394</v>
      </c>
      <c r="T56" s="22">
        <f t="shared" si="25"/>
        <v>171.44272327696001</v>
      </c>
      <c r="U56" s="22">
        <f t="shared" si="25"/>
        <v>87.442217973372465</v>
      </c>
      <c r="V56" s="22">
        <f t="shared" si="25"/>
        <v>89.197620499187906</v>
      </c>
      <c r="W56" s="22">
        <f t="shared" si="25"/>
        <v>90.988262730709081</v>
      </c>
      <c r="X56" s="22">
        <f t="shared" si="25"/>
        <v>185.62970421005613</v>
      </c>
      <c r="Y56" s="22">
        <f t="shared" si="25"/>
        <v>189.35622052207296</v>
      </c>
      <c r="Z56" s="22">
        <f t="shared" si="25"/>
        <v>193.15754664905356</v>
      </c>
      <c r="AA56" s="22">
        <f t="shared" si="25"/>
        <v>197.03518439803321</v>
      </c>
      <c r="AB56" s="22">
        <f t="shared" si="25"/>
        <v>200.99066572482371</v>
      </c>
      <c r="AC56" s="22">
        <f t="shared" si="25"/>
        <v>205.02555333924954</v>
      </c>
      <c r="AD56" s="22">
        <f t="shared" si="25"/>
        <v>209.14144132253489</v>
      </c>
      <c r="AE56" s="22">
        <f t="shared" si="25"/>
        <v>213.33995575708477</v>
      </c>
      <c r="AF56" s="22">
        <f t="shared" si="25"/>
        <v>217.62275536890823</v>
      </c>
      <c r="AG56" s="22">
        <f t="shared" si="25"/>
        <v>110.99576609146951</v>
      </c>
      <c r="AH56" s="22">
        <f t="shared" si="25"/>
        <v>113.22400609575573</v>
      </c>
      <c r="AI56" s="22">
        <f t="shared" si="25"/>
        <v>115.49697801812799</v>
      </c>
      <c r="AJ56" s="22">
        <f t="shared" si="25"/>
        <v>235.63115970368381</v>
      </c>
      <c r="AK56" s="22">
        <f t="shared" si="25"/>
        <v>240.36145523473522</v>
      </c>
      <c r="AL56" s="22">
        <f t="shared" si="25"/>
        <v>245.18671144857248</v>
      </c>
      <c r="AM56" s="22">
        <f t="shared" si="25"/>
        <v>250.10883468090256</v>
      </c>
      <c r="AN56" s="22">
        <f t="shared" si="25"/>
        <v>255.1297695371216</v>
      </c>
      <c r="AO56" s="22">
        <f t="shared" si="25"/>
        <v>260.25149966057927</v>
      </c>
      <c r="AP56" s="22">
        <f t="shared" si="25"/>
        <v>265.47604851626534</v>
      </c>
      <c r="AQ56" s="22">
        <f t="shared" si="25"/>
        <v>270.80548019022933</v>
      </c>
      <c r="AR56" s="22">
        <f t="shared" si="25"/>
        <v>276.24190020504813</v>
      </c>
      <c r="AS56" s="22">
        <f t="shared" si="25"/>
        <v>140.89372817583219</v>
      </c>
      <c r="AT56" s="22">
        <f t="shared" si="25"/>
        <v>143.72216976896203</v>
      </c>
      <c r="AU56" s="22">
        <f t="shared" si="25"/>
        <v>146.60739232707388</v>
      </c>
      <c r="AV56" s="22">
        <f t="shared" si="25"/>
        <v>299.10107145607975</v>
      </c>
      <c r="AW56" s="22">
        <f t="shared" si="25"/>
        <v>305.1055254655605</v>
      </c>
      <c r="AX56" s="22">
        <f t="shared" si="25"/>
        <v>311.23051888928154</v>
      </c>
      <c r="AY56" s="22">
        <f t="shared" si="25"/>
        <v>317.47847155598384</v>
      </c>
    </row>
    <row r="57" spans="2:51" x14ac:dyDescent="0.35">
      <c r="B57" t="s">
        <v>131</v>
      </c>
      <c r="C57" t="s">
        <v>14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>
        <f t="shared" ref="P57:AY57" si="26">P17*(P53+P55)/1000</f>
        <v>131.94999999999996</v>
      </c>
      <c r="Q57" s="22">
        <f t="shared" si="26"/>
        <v>134.59889624999994</v>
      </c>
      <c r="R57" s="22">
        <f t="shared" si="26"/>
        <v>137.30096909221865</v>
      </c>
      <c r="S57" s="22">
        <f t="shared" si="26"/>
        <v>140.05728604674493</v>
      </c>
      <c r="T57" s="22">
        <f t="shared" si="26"/>
        <v>142.86893606413335</v>
      </c>
      <c r="U57" s="22">
        <f t="shared" si="26"/>
        <v>72.868514977810392</v>
      </c>
      <c r="V57" s="22">
        <f t="shared" si="26"/>
        <v>74.331350415989917</v>
      </c>
      <c r="W57" s="22">
        <f t="shared" si="26"/>
        <v>75.823552275590913</v>
      </c>
      <c r="X57" s="22">
        <f t="shared" si="26"/>
        <v>154.69142017504677</v>
      </c>
      <c r="Y57" s="22">
        <f t="shared" si="26"/>
        <v>157.7968504350608</v>
      </c>
      <c r="Z57" s="22">
        <f t="shared" si="26"/>
        <v>160.96462220754461</v>
      </c>
      <c r="AA57" s="22">
        <f t="shared" si="26"/>
        <v>164.19598699836101</v>
      </c>
      <c r="AB57" s="22">
        <f t="shared" si="26"/>
        <v>167.49222143735312</v>
      </c>
      <c r="AC57" s="22">
        <f t="shared" si="26"/>
        <v>170.85462778270795</v>
      </c>
      <c r="AD57" s="22">
        <f t="shared" si="26"/>
        <v>174.28453443544575</v>
      </c>
      <c r="AE57" s="22">
        <f t="shared" si="26"/>
        <v>177.78329646423731</v>
      </c>
      <c r="AF57" s="22">
        <f t="shared" si="26"/>
        <v>181.35229614075683</v>
      </c>
      <c r="AG57" s="22">
        <f t="shared" si="26"/>
        <v>92.496471742891259</v>
      </c>
      <c r="AH57" s="22">
        <f t="shared" si="26"/>
        <v>94.353338413129777</v>
      </c>
      <c r="AI57" s="22">
        <f t="shared" si="26"/>
        <v>96.247481681773323</v>
      </c>
      <c r="AJ57" s="22">
        <f t="shared" si="26"/>
        <v>196.35929975306985</v>
      </c>
      <c r="AK57" s="22">
        <f t="shared" si="26"/>
        <v>200.30121269561266</v>
      </c>
      <c r="AL57" s="22">
        <f t="shared" si="26"/>
        <v>204.32225954047709</v>
      </c>
      <c r="AM57" s="22">
        <f t="shared" si="26"/>
        <v>208.42402890075215</v>
      </c>
      <c r="AN57" s="22">
        <f t="shared" si="26"/>
        <v>212.60814128093469</v>
      </c>
      <c r="AO57" s="22">
        <f t="shared" si="26"/>
        <v>216.87624971714939</v>
      </c>
      <c r="AP57" s="22">
        <f t="shared" si="26"/>
        <v>221.23004043022107</v>
      </c>
      <c r="AQ57" s="22">
        <f t="shared" si="26"/>
        <v>225.67123349185778</v>
      </c>
      <c r="AR57" s="22">
        <f t="shared" si="26"/>
        <v>230.20158350420678</v>
      </c>
      <c r="AS57" s="22">
        <f t="shared" si="26"/>
        <v>117.41144014652683</v>
      </c>
      <c r="AT57" s="22">
        <f t="shared" si="26"/>
        <v>119.76847480746834</v>
      </c>
      <c r="AU57" s="22">
        <f t="shared" si="26"/>
        <v>122.17282693922824</v>
      </c>
      <c r="AV57" s="22">
        <f t="shared" si="26"/>
        <v>249.25089288006649</v>
      </c>
      <c r="AW57" s="22">
        <f t="shared" si="26"/>
        <v>254.25460455463377</v>
      </c>
      <c r="AX57" s="22">
        <f t="shared" si="26"/>
        <v>259.358765741068</v>
      </c>
      <c r="AY57" s="22">
        <f t="shared" si="26"/>
        <v>264.56539296331988</v>
      </c>
    </row>
    <row r="58" spans="2:51" x14ac:dyDescent="0.35">
      <c r="B58" t="s">
        <v>132</v>
      </c>
      <c r="C58" t="s">
        <v>28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>
        <f>Предпосылки!$C$40</f>
        <v>0.5</v>
      </c>
      <c r="Q58" s="25">
        <f>IF(MOD(MONTH(Q$1)-Предпосылки!$C$45,Предпосылки!$C$44)=0,P58*(1+Предпосылки!$C$43),P58)</f>
        <v>0.50249999999999995</v>
      </c>
      <c r="R58" s="25">
        <f>IF(MOD(MONTH(R$1)-Предпосылки!$C$45,Предпосылки!$C$44)=0,Q58*(1+Предпосылки!$C$43),Q58)</f>
        <v>0.50501249999999986</v>
      </c>
      <c r="S58" s="25">
        <f>IF(MOD(MONTH(S$1)-Предпосылки!$C$45,Предпосылки!$C$44)=0,R58*(1+Предпосылки!$C$43),R58)</f>
        <v>0.50753756249999982</v>
      </c>
      <c r="T58" s="25">
        <f>IF(MOD(MONTH(T$1)-Предпосылки!$C$45,Предпосылки!$C$44)=0,S58*(1+Предпосылки!$C$43),S58)</f>
        <v>0.51007525031249978</v>
      </c>
      <c r="U58" s="25">
        <f>IF(MOD(MONTH(U$1)-Предпосылки!$C$45,Предпосылки!$C$44)=0,T58*(1+Предпосылки!$C$43),T58)</f>
        <v>0.51262562656406219</v>
      </c>
      <c r="V58" s="25">
        <f>IF(MOD(MONTH(V$1)-Предпосылки!$C$45,Предпосылки!$C$44)=0,U58*(1+Предпосылки!$C$43),U58)</f>
        <v>0.51518875469688241</v>
      </c>
      <c r="W58" s="25">
        <f>IF(MOD(MONTH(W$1)-Предпосылки!$C$45,Предпосылки!$C$44)=0,V58*(1+Предпосылки!$C$43),V58)</f>
        <v>0.51776469847036677</v>
      </c>
      <c r="X58" s="25">
        <f>IF(MOD(MONTH(X$1)-Предпосылки!$C$45,Предпосылки!$C$44)=0,W58*(1+Предпосылки!$C$43),W58)</f>
        <v>0.52035352196271856</v>
      </c>
      <c r="Y58" s="25">
        <f>IF(MOD(MONTH(Y$1)-Предпосылки!$C$45,Предпосылки!$C$44)=0,X58*(1+Предпосылки!$C$43),X58)</f>
        <v>0.52295528957253212</v>
      </c>
      <c r="Z58" s="25">
        <f>IF(MOD(MONTH(Z$1)-Предпосылки!$C$45,Предпосылки!$C$44)=0,Y58*(1+Предпосылки!$C$43),Y58)</f>
        <v>0.52557006602039469</v>
      </c>
      <c r="AA58" s="25">
        <f>IF(MOD(MONTH(AA$1)-Предпосылки!$C$45,Предпосылки!$C$44)=0,Z58*(1+Предпосылки!$C$43),Z58)</f>
        <v>0.52819791635049662</v>
      </c>
      <c r="AB58" s="25">
        <f>IF(MOD(MONTH(AB$1)-Предпосылки!$C$45,Предпосылки!$C$44)=0,AA58*(1+Предпосылки!$C$43),AA58)</f>
        <v>0.53083890593224903</v>
      </c>
      <c r="AC58" s="25">
        <f>IF(MOD(MONTH(AC$1)-Предпосылки!$C$45,Предпосылки!$C$44)=0,AB58*(1+Предпосылки!$C$43),AB58)</f>
        <v>0.53349310046191023</v>
      </c>
      <c r="AD58" s="25">
        <f>IF(MOD(MONTH(AD$1)-Предпосылки!$C$45,Предпосылки!$C$44)=0,AC58*(1+Предпосылки!$C$43),AC58)</f>
        <v>0.53616056596421968</v>
      </c>
      <c r="AE58" s="25">
        <f>IF(MOD(MONTH(AE$1)-Предпосылки!$C$45,Предпосылки!$C$44)=0,AD58*(1+Предпосылки!$C$43),AD58)</f>
        <v>0.53884136879404076</v>
      </c>
      <c r="AF58" s="25">
        <f>IF(MOD(MONTH(AF$1)-Предпосылки!$C$45,Предпосылки!$C$44)=0,AE58*(1+Предпосылки!$C$43),AE58)</f>
        <v>0.54153557563801091</v>
      </c>
      <c r="AG58" s="25">
        <f>IF(MOD(MONTH(AG$1)-Предпосылки!$C$45,Предпосылки!$C$44)=0,AF58*(1+Предпосылки!$C$43),AF58)</f>
        <v>0.54424325351620095</v>
      </c>
      <c r="AH58" s="25">
        <f>IF(MOD(MONTH(AH$1)-Предпосылки!$C$45,Предпосылки!$C$44)=0,AG58*(1+Предпосылки!$C$43),AG58)</f>
        <v>0.54696446978378188</v>
      </c>
      <c r="AI58" s="25">
        <f>IF(MOD(MONTH(AI$1)-Предпосылки!$C$45,Предпосылки!$C$44)=0,AH58*(1+Предпосылки!$C$43),AH58)</f>
        <v>0.54969929213270075</v>
      </c>
      <c r="AJ58" s="25">
        <f>IF(MOD(MONTH(AJ$1)-Предпосылки!$C$45,Предпосылки!$C$44)=0,AI58*(1+Предпосылки!$C$43),AI58)</f>
        <v>0.55244778859336419</v>
      </c>
      <c r="AK58" s="25">
        <f>IF(MOD(MONTH(AK$1)-Предпосылки!$C$45,Предпосылки!$C$44)=0,AJ58*(1+Предпосылки!$C$43),AJ58)</f>
        <v>0.55521002753633097</v>
      </c>
      <c r="AL58" s="25">
        <f>IF(MOD(MONTH(AL$1)-Предпосылки!$C$45,Предпосылки!$C$44)=0,AK58*(1+Предпосылки!$C$43),AK58)</f>
        <v>0.55798607767401254</v>
      </c>
      <c r="AM58" s="25">
        <f>IF(MOD(MONTH(AM$1)-Предпосылки!$C$45,Предпосылки!$C$44)=0,AL58*(1+Предпосылки!$C$43),AL58)</f>
        <v>0.56077600806238259</v>
      </c>
      <c r="AN58" s="25">
        <f>IF(MOD(MONTH(AN$1)-Предпосылки!$C$45,Предпосылки!$C$44)=0,AM58*(1+Предпосылки!$C$43),AM58)</f>
        <v>0.56357988810269444</v>
      </c>
      <c r="AO58" s="25">
        <f>IF(MOD(MONTH(AO$1)-Предпосылки!$C$45,Предпосылки!$C$44)=0,AN58*(1+Предпосылки!$C$43),AN58)</f>
        <v>0.5663977875432078</v>
      </c>
      <c r="AP58" s="25">
        <f>IF(MOD(MONTH(AP$1)-Предпосылки!$C$45,Предпосылки!$C$44)=0,AO58*(1+Предпосылки!$C$43),AO58)</f>
        <v>0.56922977648092377</v>
      </c>
      <c r="AQ58" s="25">
        <f>IF(MOD(MONTH(AQ$1)-Предпосылки!$C$45,Предпосылки!$C$44)=0,AP58*(1+Предпосылки!$C$43),AP58)</f>
        <v>0.5720759253633283</v>
      </c>
      <c r="AR58" s="25">
        <f>IF(MOD(MONTH(AR$1)-Предпосылки!$C$45,Предпосылки!$C$44)=0,AQ58*(1+Предпосылки!$C$43),AQ58)</f>
        <v>0.57493630499014492</v>
      </c>
      <c r="AS58" s="25">
        <f>IF(MOD(MONTH(AS$1)-Предпосылки!$C$45,Предпосылки!$C$44)=0,AR58*(1+Предпосылки!$C$43),AR58)</f>
        <v>0.57781098651509555</v>
      </c>
      <c r="AT58" s="25">
        <f>IF(MOD(MONTH(AT$1)-Предпосылки!$C$45,Предпосылки!$C$44)=0,AS58*(1+Предпосылки!$C$43),AS58)</f>
        <v>0.58070004144767096</v>
      </c>
      <c r="AU58" s="25">
        <f>IF(MOD(MONTH(AU$1)-Предпосылки!$C$45,Предпосылки!$C$44)=0,AT58*(1+Предпосылки!$C$43),AT58)</f>
        <v>0.58360354165490924</v>
      </c>
      <c r="AV58" s="25">
        <f>IF(MOD(MONTH(AV$1)-Предпосылки!$C$45,Предпосылки!$C$44)=0,AU58*(1+Предпосылки!$C$43),AU58)</f>
        <v>0.58652155936318373</v>
      </c>
      <c r="AW58" s="25">
        <f>IF(MOD(MONTH(AW$1)-Предпосылки!$C$45,Предпосылки!$C$44)=0,AV58*(1+Предпосылки!$C$43),AV58)</f>
        <v>0.58945416715999954</v>
      </c>
      <c r="AX58" s="25">
        <f>IF(MOD(MONTH(AX$1)-Предпосылки!$C$45,Предпосылки!$C$44)=0,AW58*(1+Предпосылки!$C$43),AW58)</f>
        <v>0.59240143799579947</v>
      </c>
      <c r="AY58" s="25">
        <f>IF(MOD(MONTH(AY$1)-Предпосылки!$C$45,Предпосылки!$C$44)=0,AX58*(1+Предпосылки!$C$43),AX58)</f>
        <v>0.59536344518577844</v>
      </c>
    </row>
    <row r="59" spans="2:51" x14ac:dyDescent="0.35">
      <c r="B59" t="s">
        <v>133</v>
      </c>
      <c r="C59" t="s">
        <v>28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>
        <f>P58/(1+Предпосылки!$C$42)</f>
        <v>0.41666666666666669</v>
      </c>
      <c r="Q59" s="25">
        <f>Q58/(1+Предпосылки!$C$42)</f>
        <v>0.41874999999999996</v>
      </c>
      <c r="R59" s="25">
        <f>R58/(1+Предпосылки!$C$42)</f>
        <v>0.42084374999999991</v>
      </c>
      <c r="S59" s="25">
        <f>S58/(1+Предпосылки!$C$42)</f>
        <v>0.42294796874999985</v>
      </c>
      <c r="T59" s="25">
        <f>T58/(1+Предпосылки!$C$42)</f>
        <v>0.42506270859374984</v>
      </c>
      <c r="U59" s="25">
        <f>U58/(1+Предпосылки!$C$42)</f>
        <v>0.42718802213671853</v>
      </c>
      <c r="V59" s="25">
        <f>V58/(1+Предпосылки!$C$42)</f>
        <v>0.42932396224740205</v>
      </c>
      <c r="W59" s="25">
        <f>W58/(1+Предпосылки!$C$42)</f>
        <v>0.43147058205863897</v>
      </c>
      <c r="X59" s="25">
        <f>X58/(1+Предпосылки!$C$42)</f>
        <v>0.43362793496893215</v>
      </c>
      <c r="Y59" s="25">
        <f>Y58/(1+Предпосылки!$C$42)</f>
        <v>0.43579607464377679</v>
      </c>
      <c r="Z59" s="25">
        <f>Z58/(1+Предпосылки!$C$42)</f>
        <v>0.43797505501699557</v>
      </c>
      <c r="AA59" s="25">
        <f>AA58/(1+Предпосылки!$C$42)</f>
        <v>0.44016493029208054</v>
      </c>
      <c r="AB59" s="25">
        <f>AB58/(1+Предпосылки!$C$42)</f>
        <v>0.44236575494354086</v>
      </c>
      <c r="AC59" s="25">
        <f>AC58/(1+Предпосылки!$C$42)</f>
        <v>0.44457758371825856</v>
      </c>
      <c r="AD59" s="25">
        <f>AD58/(1+Предпосылки!$C$42)</f>
        <v>0.44680047163684977</v>
      </c>
      <c r="AE59" s="25">
        <f>AE58/(1+Предпосылки!$C$42)</f>
        <v>0.44903447399503399</v>
      </c>
      <c r="AF59" s="25">
        <f>AF58/(1+Предпосылки!$C$42)</f>
        <v>0.45127964636500911</v>
      </c>
      <c r="AG59" s="25">
        <f>AG58/(1+Предпосылки!$C$42)</f>
        <v>0.45353604459683416</v>
      </c>
      <c r="AH59" s="25">
        <f>AH58/(1+Предпосылки!$C$42)</f>
        <v>0.45580372481981823</v>
      </c>
      <c r="AI59" s="25">
        <f>AI58/(1+Предпосылки!$C$42)</f>
        <v>0.45808274344391731</v>
      </c>
      <c r="AJ59" s="25">
        <f>AJ58/(1+Предпосылки!$C$42)</f>
        <v>0.46037315716113686</v>
      </c>
      <c r="AK59" s="25">
        <f>AK58/(1+Предпосылки!$C$42)</f>
        <v>0.46267502294694252</v>
      </c>
      <c r="AL59" s="25">
        <f>AL58/(1+Предпосылки!$C$42)</f>
        <v>0.46498839806167713</v>
      </c>
      <c r="AM59" s="25">
        <f>AM58/(1+Предпосылки!$C$42)</f>
        <v>0.46731334005198549</v>
      </c>
      <c r="AN59" s="25">
        <f>AN58/(1+Предпосылки!$C$42)</f>
        <v>0.46964990675224538</v>
      </c>
      <c r="AO59" s="25">
        <f>AO58/(1+Предпосылки!$C$42)</f>
        <v>0.4719981562860065</v>
      </c>
      <c r="AP59" s="25">
        <f>AP58/(1+Предпосылки!$C$42)</f>
        <v>0.47435814706743651</v>
      </c>
      <c r="AQ59" s="25">
        <f>AQ58/(1+Предпосылки!$C$42)</f>
        <v>0.47672993780277362</v>
      </c>
      <c r="AR59" s="25">
        <f>AR58/(1+Предпосылки!$C$42)</f>
        <v>0.47911358749178745</v>
      </c>
      <c r="AS59" s="25">
        <f>AS58/(1+Предпосылки!$C$42)</f>
        <v>0.48150915542924633</v>
      </c>
      <c r="AT59" s="25">
        <f>AT58/(1+Предпосылки!$C$42)</f>
        <v>0.48391670120639246</v>
      </c>
      <c r="AU59" s="25">
        <f>AU58/(1+Предпосылки!$C$42)</f>
        <v>0.4863362847124244</v>
      </c>
      <c r="AV59" s="25">
        <f>AV58/(1+Предпосылки!$C$42)</f>
        <v>0.48876796613598644</v>
      </c>
      <c r="AW59" s="25">
        <f>AW58/(1+Предпосылки!$C$42)</f>
        <v>0.4912118059666663</v>
      </c>
      <c r="AX59" s="25">
        <f>AX58/(1+Предпосылки!$C$42)</f>
        <v>0.49366786499649956</v>
      </c>
      <c r="AY59" s="25">
        <f>AY58/(1+Предпосылки!$C$42)</f>
        <v>0.49613620432148203</v>
      </c>
    </row>
    <row r="60" spans="2:51" x14ac:dyDescent="0.35">
      <c r="B60" t="s">
        <v>134</v>
      </c>
      <c r="C60" t="s">
        <v>14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>
        <f t="shared" ref="P60:AY60" si="27">P18*P58/1000</f>
        <v>46.18249999999999</v>
      </c>
      <c r="Q60" s="22">
        <f t="shared" si="27"/>
        <v>47.10961368749998</v>
      </c>
      <c r="R60" s="22">
        <f t="shared" si="27"/>
        <v>48.055339182276541</v>
      </c>
      <c r="S60" s="22">
        <f t="shared" si="27"/>
        <v>49.020050116360736</v>
      </c>
      <c r="T60" s="22">
        <f t="shared" si="27"/>
        <v>50.004127622446674</v>
      </c>
      <c r="U60" s="22">
        <f t="shared" si="27"/>
        <v>25.503980242233634</v>
      </c>
      <c r="V60" s="22">
        <f t="shared" si="27"/>
        <v>26.01597264559647</v>
      </c>
      <c r="W60" s="22">
        <f t="shared" si="27"/>
        <v>26.538243296456816</v>
      </c>
      <c r="X60" s="22">
        <f t="shared" si="27"/>
        <v>54.141997061266359</v>
      </c>
      <c r="Y60" s="22">
        <f t="shared" si="27"/>
        <v>55.228897652271279</v>
      </c>
      <c r="Z60" s="22">
        <f t="shared" si="27"/>
        <v>56.337617772640606</v>
      </c>
      <c r="AA60" s="22">
        <f t="shared" si="27"/>
        <v>57.468595449426353</v>
      </c>
      <c r="AB60" s="22">
        <f t="shared" si="27"/>
        <v>58.622277503073569</v>
      </c>
      <c r="AC60" s="22">
        <f t="shared" si="27"/>
        <v>59.799119723947754</v>
      </c>
      <c r="AD60" s="22">
        <f t="shared" si="27"/>
        <v>60.999587052405985</v>
      </c>
      <c r="AE60" s="22">
        <f t="shared" si="27"/>
        <v>62.224153762483027</v>
      </c>
      <c r="AF60" s="22">
        <f t="shared" si="27"/>
        <v>63.473303649264878</v>
      </c>
      <c r="AG60" s="22">
        <f t="shared" si="27"/>
        <v>32.373765110011924</v>
      </c>
      <c r="AH60" s="22">
        <f t="shared" si="27"/>
        <v>33.023668444595408</v>
      </c>
      <c r="AI60" s="22">
        <f t="shared" si="27"/>
        <v>33.686618588620654</v>
      </c>
      <c r="AJ60" s="22">
        <f t="shared" si="27"/>
        <v>68.725754913574406</v>
      </c>
      <c r="AK60" s="22">
        <f t="shared" si="27"/>
        <v>70.105424443464415</v>
      </c>
      <c r="AL60" s="22">
        <f t="shared" si="27"/>
        <v>71.512790839166954</v>
      </c>
      <c r="AM60" s="22">
        <f t="shared" si="27"/>
        <v>72.948410115263201</v>
      </c>
      <c r="AN60" s="22">
        <f t="shared" si="27"/>
        <v>74.412849448327108</v>
      </c>
      <c r="AO60" s="22">
        <f t="shared" si="27"/>
        <v>75.906687401002245</v>
      </c>
      <c r="AP60" s="22">
        <f t="shared" si="27"/>
        <v>77.430514150577366</v>
      </c>
      <c r="AQ60" s="22">
        <f t="shared" si="27"/>
        <v>78.984931722150179</v>
      </c>
      <c r="AR60" s="22">
        <f t="shared" si="27"/>
        <v>80.570554226472339</v>
      </c>
      <c r="AS60" s="22">
        <f t="shared" si="27"/>
        <v>41.094004051284372</v>
      </c>
      <c r="AT60" s="22">
        <f t="shared" si="27"/>
        <v>41.918966182613893</v>
      </c>
      <c r="AU60" s="22">
        <f t="shared" si="27"/>
        <v>42.760489428729862</v>
      </c>
      <c r="AV60" s="22">
        <f t="shared" si="27"/>
        <v>87.237812508023225</v>
      </c>
      <c r="AW60" s="22">
        <f t="shared" si="27"/>
        <v>88.989111594121752</v>
      </c>
      <c r="AX60" s="22">
        <f t="shared" si="27"/>
        <v>90.775568009373728</v>
      </c>
      <c r="AY60" s="22">
        <f t="shared" si="27"/>
        <v>92.597887537161895</v>
      </c>
    </row>
    <row r="61" spans="2:51" x14ac:dyDescent="0.35">
      <c r="B61" t="s">
        <v>135</v>
      </c>
      <c r="C61" t="s">
        <v>14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>
        <f t="shared" ref="P61:AY61" si="28">P18*P59/1000</f>
        <v>38.485416666666666</v>
      </c>
      <c r="Q61" s="22">
        <f t="shared" si="28"/>
        <v>39.258011406249977</v>
      </c>
      <c r="R61" s="22">
        <f t="shared" si="28"/>
        <v>40.04611598523045</v>
      </c>
      <c r="S61" s="22">
        <f t="shared" si="28"/>
        <v>40.850041763633939</v>
      </c>
      <c r="T61" s="22">
        <f t="shared" si="28"/>
        <v>41.670106352038893</v>
      </c>
      <c r="U61" s="22">
        <f t="shared" si="28"/>
        <v>21.253316868528032</v>
      </c>
      <c r="V61" s="22">
        <f t="shared" si="28"/>
        <v>21.679977204663725</v>
      </c>
      <c r="W61" s="22">
        <f t="shared" si="28"/>
        <v>22.115202747047345</v>
      </c>
      <c r="X61" s="22">
        <f t="shared" si="28"/>
        <v>45.118330884388641</v>
      </c>
      <c r="Y61" s="22">
        <f t="shared" si="28"/>
        <v>46.024081376892731</v>
      </c>
      <c r="Z61" s="22">
        <f t="shared" si="28"/>
        <v>46.948014810533827</v>
      </c>
      <c r="AA61" s="22">
        <f t="shared" si="28"/>
        <v>47.890496207855293</v>
      </c>
      <c r="AB61" s="22">
        <f t="shared" si="28"/>
        <v>48.851897919227973</v>
      </c>
      <c r="AC61" s="22">
        <f t="shared" si="28"/>
        <v>49.832599769956467</v>
      </c>
      <c r="AD61" s="22">
        <f t="shared" si="28"/>
        <v>50.832989210338326</v>
      </c>
      <c r="AE61" s="22">
        <f t="shared" si="28"/>
        <v>51.853461468735865</v>
      </c>
      <c r="AF61" s="22">
        <f t="shared" si="28"/>
        <v>52.894419707720729</v>
      </c>
      <c r="AG61" s="22">
        <f t="shared" si="28"/>
        <v>26.978137591676607</v>
      </c>
      <c r="AH61" s="22">
        <f t="shared" si="28"/>
        <v>27.519723703829506</v>
      </c>
      <c r="AI61" s="22">
        <f t="shared" si="28"/>
        <v>28.072182157183878</v>
      </c>
      <c r="AJ61" s="22">
        <f t="shared" si="28"/>
        <v>57.271462427978683</v>
      </c>
      <c r="AK61" s="22">
        <f t="shared" si="28"/>
        <v>58.421187036220346</v>
      </c>
      <c r="AL61" s="22">
        <f t="shared" si="28"/>
        <v>59.593992365972461</v>
      </c>
      <c r="AM61" s="22">
        <f t="shared" si="28"/>
        <v>60.790341762719343</v>
      </c>
      <c r="AN61" s="22">
        <f t="shared" si="28"/>
        <v>62.010707873605924</v>
      </c>
      <c r="AO61" s="22">
        <f t="shared" si="28"/>
        <v>63.255572834168539</v>
      </c>
      <c r="AP61" s="22">
        <f t="shared" si="28"/>
        <v>64.525428458814474</v>
      </c>
      <c r="AQ61" s="22">
        <f t="shared" si="28"/>
        <v>65.820776435125154</v>
      </c>
      <c r="AR61" s="22">
        <f t="shared" si="28"/>
        <v>67.14212852206029</v>
      </c>
      <c r="AS61" s="22">
        <f t="shared" si="28"/>
        <v>34.245003376070308</v>
      </c>
      <c r="AT61" s="22">
        <f t="shared" si="28"/>
        <v>34.93247181884491</v>
      </c>
      <c r="AU61" s="22">
        <f t="shared" si="28"/>
        <v>35.633741190608212</v>
      </c>
      <c r="AV61" s="22">
        <f t="shared" si="28"/>
        <v>72.698177090019357</v>
      </c>
      <c r="AW61" s="22">
        <f t="shared" si="28"/>
        <v>74.157592995101467</v>
      </c>
      <c r="AX61" s="22">
        <f t="shared" si="28"/>
        <v>75.646306674478112</v>
      </c>
      <c r="AY61" s="22">
        <f t="shared" si="28"/>
        <v>77.164906280968253</v>
      </c>
    </row>
    <row r="62" spans="2:51" x14ac:dyDescent="0.35">
      <c r="B62" t="s">
        <v>136</v>
      </c>
      <c r="C62" t="s">
        <v>28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>
        <f>Предпосылки!$C$41</f>
        <v>500</v>
      </c>
      <c r="Q62" s="25">
        <f>IF(MOD(MONTH(Q$1)-Предпосылки!$C$45,Предпосылки!$C$44)=0,P62*(1+Предпосылки!$C$43),P62)</f>
        <v>502.49999999999994</v>
      </c>
      <c r="R62" s="25">
        <f>IF(MOD(MONTH(R$1)-Предпосылки!$C$45,Предпосылки!$C$44)=0,Q62*(1+Предпосылки!$C$43),Q62)</f>
        <v>505.01249999999987</v>
      </c>
      <c r="S62" s="25">
        <f>IF(MOD(MONTH(S$1)-Предпосылки!$C$45,Предпосылки!$C$44)=0,R62*(1+Предпосылки!$C$43),R62)</f>
        <v>507.53756249999981</v>
      </c>
      <c r="T62" s="25">
        <f>IF(MOD(MONTH(T$1)-Предпосылки!$C$45,Предпосылки!$C$44)=0,S62*(1+Предпосылки!$C$43),S62)</f>
        <v>510.07525031249975</v>
      </c>
      <c r="U62" s="25">
        <f>IF(MOD(MONTH(U$1)-Предпосылки!$C$45,Предпосылки!$C$44)=0,T62*(1+Предпосылки!$C$43),T62)</f>
        <v>512.62562656406215</v>
      </c>
      <c r="V62" s="25">
        <f>IF(MOD(MONTH(V$1)-Предпосылки!$C$45,Предпосылки!$C$44)=0,U62*(1+Предпосылки!$C$43),U62)</f>
        <v>515.18875469688237</v>
      </c>
      <c r="W62" s="25">
        <f>IF(MOD(MONTH(W$1)-Предпосылки!$C$45,Предпосылки!$C$44)=0,V62*(1+Предпосылки!$C$43),V62)</f>
        <v>517.76469847036674</v>
      </c>
      <c r="X62" s="25">
        <f>IF(MOD(MONTH(X$1)-Предпосылки!$C$45,Предпосылки!$C$44)=0,W62*(1+Предпосылки!$C$43),W62)</f>
        <v>520.35352196271856</v>
      </c>
      <c r="Y62" s="25">
        <f>IF(MOD(MONTH(Y$1)-Предпосылки!$C$45,Предпосылки!$C$44)=0,X62*(1+Предпосылки!$C$43),X62)</f>
        <v>522.95528957253214</v>
      </c>
      <c r="Z62" s="25">
        <f>IF(MOD(MONTH(Z$1)-Предпосылки!$C$45,Предпосылки!$C$44)=0,Y62*(1+Предпосылки!$C$43),Y62)</f>
        <v>525.57006602039473</v>
      </c>
      <c r="AA62" s="25">
        <f>IF(MOD(MONTH(AA$1)-Предпосылки!$C$45,Предпосылки!$C$44)=0,Z62*(1+Предпосылки!$C$43),Z62)</f>
        <v>528.1979163504966</v>
      </c>
      <c r="AB62" s="25">
        <f>IF(MOD(MONTH(AB$1)-Предпосылки!$C$45,Предпосылки!$C$44)=0,AA62*(1+Предпосылки!$C$43),AA62)</f>
        <v>530.83890593224908</v>
      </c>
      <c r="AC62" s="25">
        <f>IF(MOD(MONTH(AC$1)-Предпосылки!$C$45,Предпосылки!$C$44)=0,AB62*(1+Предпосылки!$C$43),AB62)</f>
        <v>533.49310046191022</v>
      </c>
      <c r="AD62" s="25">
        <f>IF(MOD(MONTH(AD$1)-Предпосылки!$C$45,Предпосылки!$C$44)=0,AC62*(1+Предпосылки!$C$43),AC62)</f>
        <v>536.1605659642197</v>
      </c>
      <c r="AE62" s="25">
        <f>IF(MOD(MONTH(AE$1)-Предпосылки!$C$45,Предпосылки!$C$44)=0,AD62*(1+Предпосылки!$C$43),AD62)</f>
        <v>538.8413687940407</v>
      </c>
      <c r="AF62" s="25">
        <f>IF(MOD(MONTH(AF$1)-Предпосылки!$C$45,Предпосылки!$C$44)=0,AE62*(1+Предпосылки!$C$43),AE62)</f>
        <v>541.53557563801087</v>
      </c>
      <c r="AG62" s="25">
        <f>IF(MOD(MONTH(AG$1)-Предпосылки!$C$45,Предпосылки!$C$44)=0,AF62*(1+Предпосылки!$C$43),AF62)</f>
        <v>544.24325351620087</v>
      </c>
      <c r="AH62" s="25">
        <f>IF(MOD(MONTH(AH$1)-Предпосылки!$C$45,Предпосылки!$C$44)=0,AG62*(1+Предпосылки!$C$43),AG62)</f>
        <v>546.96446978378185</v>
      </c>
      <c r="AI62" s="25">
        <f>IF(MOD(MONTH(AI$1)-Предпосылки!$C$45,Предпосылки!$C$44)=0,AH62*(1+Предпосылки!$C$43),AH62)</f>
        <v>549.69929213270075</v>
      </c>
      <c r="AJ62" s="25">
        <f>IF(MOD(MONTH(AJ$1)-Предпосылки!$C$45,Предпосылки!$C$44)=0,AI62*(1+Предпосылки!$C$43),AI62)</f>
        <v>552.44778859336418</v>
      </c>
      <c r="AK62" s="25">
        <f>IF(MOD(MONTH(AK$1)-Предпосылки!$C$45,Предпосылки!$C$44)=0,AJ62*(1+Предпосылки!$C$43),AJ62)</f>
        <v>555.21002753633093</v>
      </c>
      <c r="AL62" s="25">
        <f>IF(MOD(MONTH(AL$1)-Предпосылки!$C$45,Предпосылки!$C$44)=0,AK62*(1+Предпосылки!$C$43),AK62)</f>
        <v>557.98607767401256</v>
      </c>
      <c r="AM62" s="25">
        <f>IF(MOD(MONTH(AM$1)-Предпосылки!$C$45,Предпосылки!$C$44)=0,AL62*(1+Предпосылки!$C$43),AL62)</f>
        <v>560.77600806238252</v>
      </c>
      <c r="AN62" s="25">
        <f>IF(MOD(MONTH(AN$1)-Предпосылки!$C$45,Предпосылки!$C$44)=0,AM62*(1+Предпосылки!$C$43),AM62)</f>
        <v>563.57988810269433</v>
      </c>
      <c r="AO62" s="25">
        <f>IF(MOD(MONTH(AO$1)-Предпосылки!$C$45,Предпосылки!$C$44)=0,AN62*(1+Предпосылки!$C$43),AN62)</f>
        <v>566.39778754320776</v>
      </c>
      <c r="AP62" s="25">
        <f>IF(MOD(MONTH(AP$1)-Предпосылки!$C$45,Предпосылки!$C$44)=0,AO62*(1+Предпосылки!$C$43),AO62)</f>
        <v>569.22977648092376</v>
      </c>
      <c r="AQ62" s="25">
        <f>IF(MOD(MONTH(AQ$1)-Предпосылки!$C$45,Предпосылки!$C$44)=0,AP62*(1+Предпосылки!$C$43),AP62)</f>
        <v>572.07592536332834</v>
      </c>
      <c r="AR62" s="25">
        <f>IF(MOD(MONTH(AR$1)-Предпосылки!$C$45,Предпосылки!$C$44)=0,AQ62*(1+Предпосылки!$C$43),AQ62)</f>
        <v>574.93630499014489</v>
      </c>
      <c r="AS62" s="25">
        <f>IF(MOD(MONTH(AS$1)-Предпосылки!$C$45,Предпосылки!$C$44)=0,AR62*(1+Предпосылки!$C$43),AR62)</f>
        <v>577.81098651509558</v>
      </c>
      <c r="AT62" s="25">
        <f>IF(MOD(MONTH(AT$1)-Предпосылки!$C$45,Предпосылки!$C$44)=0,AS62*(1+Предпосылки!$C$43),AS62)</f>
        <v>580.70004144767097</v>
      </c>
      <c r="AU62" s="25">
        <f>IF(MOD(MONTH(AU$1)-Предпосылки!$C$45,Предпосылки!$C$44)=0,AT62*(1+Предпосылки!$C$43),AT62)</f>
        <v>583.60354165490924</v>
      </c>
      <c r="AV62" s="25">
        <f>IF(MOD(MONTH(AV$1)-Предпосылки!$C$45,Предпосылки!$C$44)=0,AU62*(1+Предпосылки!$C$43),AU62)</f>
        <v>586.52155936318377</v>
      </c>
      <c r="AW62" s="25">
        <f>IF(MOD(MONTH(AW$1)-Предпосылки!$C$45,Предпосылки!$C$44)=0,AV62*(1+Предпосылки!$C$43),AV62)</f>
        <v>589.45416715999966</v>
      </c>
      <c r="AX62" s="25">
        <f>IF(MOD(MONTH(AX$1)-Предпосылки!$C$45,Предпосылки!$C$44)=0,AW62*(1+Предпосылки!$C$43),AW62)</f>
        <v>592.4014379957996</v>
      </c>
      <c r="AY62" s="25">
        <f>IF(MOD(MONTH(AY$1)-Предпосылки!$C$45,Предпосылки!$C$44)=0,AX62*(1+Предпосылки!$C$43),AX62)</f>
        <v>595.36344518577857</v>
      </c>
    </row>
    <row r="63" spans="2:51" x14ac:dyDescent="0.35">
      <c r="B63" t="s">
        <v>137</v>
      </c>
      <c r="C63" t="s">
        <v>28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>
        <f>P62/(1+Предпосылки!$C$42)</f>
        <v>416.66666666666669</v>
      </c>
      <c r="Q63" s="25">
        <f>Q62/(1+Предпосылки!$C$42)</f>
        <v>418.74999999999994</v>
      </c>
      <c r="R63" s="25">
        <f>R62/(1+Предпосылки!$C$42)</f>
        <v>420.84374999999989</v>
      </c>
      <c r="S63" s="25">
        <f>S62/(1+Предпосылки!$C$42)</f>
        <v>422.94796874999986</v>
      </c>
      <c r="T63" s="25">
        <f>T62/(1+Предпосылки!$C$42)</f>
        <v>425.06270859374979</v>
      </c>
      <c r="U63" s="25">
        <f>U62/(1+Предпосылки!$C$42)</f>
        <v>427.18802213671847</v>
      </c>
      <c r="V63" s="25">
        <f>V62/(1+Предпосылки!$C$42)</f>
        <v>429.32396224740199</v>
      </c>
      <c r="W63" s="25">
        <f>W62/(1+Предпосылки!$C$42)</f>
        <v>431.47058205863897</v>
      </c>
      <c r="X63" s="25">
        <f>X62/(1+Предпосылки!$C$42)</f>
        <v>433.62793496893215</v>
      </c>
      <c r="Y63" s="25">
        <f>Y62/(1+Предпосылки!$C$42)</f>
        <v>435.79607464377682</v>
      </c>
      <c r="Z63" s="25">
        <f>Z62/(1+Предпосылки!$C$42)</f>
        <v>437.97505501699561</v>
      </c>
      <c r="AA63" s="25">
        <f>AA62/(1+Предпосылки!$C$42)</f>
        <v>440.1649302920805</v>
      </c>
      <c r="AB63" s="25">
        <f>AB62/(1+Предпосылки!$C$42)</f>
        <v>442.36575494354094</v>
      </c>
      <c r="AC63" s="25">
        <f>AC62/(1+Предпосылки!$C$42)</f>
        <v>444.57758371825855</v>
      </c>
      <c r="AD63" s="25">
        <f>AD62/(1+Предпосылки!$C$42)</f>
        <v>446.80047163684975</v>
      </c>
      <c r="AE63" s="25">
        <f>AE62/(1+Предпосылки!$C$42)</f>
        <v>449.03447399503392</v>
      </c>
      <c r="AF63" s="25">
        <f>AF62/(1+Предпосылки!$C$42)</f>
        <v>451.27964636500906</v>
      </c>
      <c r="AG63" s="25">
        <f>AG62/(1+Предпосылки!$C$42)</f>
        <v>453.53604459683407</v>
      </c>
      <c r="AH63" s="25">
        <f>AH62/(1+Предпосылки!$C$42)</f>
        <v>455.80372481981823</v>
      </c>
      <c r="AI63" s="25">
        <f>AI62/(1+Предпосылки!$C$42)</f>
        <v>458.08274344391731</v>
      </c>
      <c r="AJ63" s="25">
        <f>AJ62/(1+Предпосылки!$C$42)</f>
        <v>460.37315716113682</v>
      </c>
      <c r="AK63" s="25">
        <f>AK62/(1+Предпосылки!$C$42)</f>
        <v>462.67502294694248</v>
      </c>
      <c r="AL63" s="25">
        <f>AL62/(1+Предпосылки!$C$42)</f>
        <v>464.98839806167717</v>
      </c>
      <c r="AM63" s="25">
        <f>AM62/(1+Предпосылки!$C$42)</f>
        <v>467.31334005198545</v>
      </c>
      <c r="AN63" s="25">
        <f>AN62/(1+Предпосылки!$C$42)</f>
        <v>469.64990675224527</v>
      </c>
      <c r="AO63" s="25">
        <f>AO62/(1+Предпосылки!$C$42)</f>
        <v>471.99815628600646</v>
      </c>
      <c r="AP63" s="25">
        <f>AP62/(1+Предпосылки!$C$42)</f>
        <v>474.35814706743651</v>
      </c>
      <c r="AQ63" s="25">
        <f>AQ62/(1+Предпосылки!$C$42)</f>
        <v>476.72993780277363</v>
      </c>
      <c r="AR63" s="25">
        <f>AR62/(1+Предпосылки!$C$42)</f>
        <v>479.11358749178743</v>
      </c>
      <c r="AS63" s="25">
        <f>AS62/(1+Предпосылки!$C$42)</f>
        <v>481.50915542924633</v>
      </c>
      <c r="AT63" s="25">
        <f>AT62/(1+Предпосылки!$C$42)</f>
        <v>483.91670120639247</v>
      </c>
      <c r="AU63" s="25">
        <f>AU62/(1+Предпосылки!$C$42)</f>
        <v>486.3362847124244</v>
      </c>
      <c r="AV63" s="25">
        <f>AV62/(1+Предпосылки!$C$42)</f>
        <v>488.76796613598651</v>
      </c>
      <c r="AW63" s="25">
        <f>AW62/(1+Предпосылки!$C$42)</f>
        <v>491.21180596666642</v>
      </c>
      <c r="AX63" s="25">
        <f>AX62/(1+Предпосылки!$C$42)</f>
        <v>493.6678649964997</v>
      </c>
      <c r="AY63" s="25">
        <f>AY62/(1+Предпосылки!$C$42)</f>
        <v>496.13620432148218</v>
      </c>
    </row>
    <row r="64" spans="2:51" x14ac:dyDescent="0.35">
      <c r="B64" t="s">
        <v>138</v>
      </c>
      <c r="C64" t="s">
        <v>14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>
        <f t="shared" ref="P64:AY64" si="29">P12*P62/1000</f>
        <v>217.47500000000002</v>
      </c>
      <c r="Q64" s="22">
        <f t="shared" si="29"/>
        <v>224.37341062499996</v>
      </c>
      <c r="R64" s="22">
        <f t="shared" si="29"/>
        <v>231.65022546829678</v>
      </c>
      <c r="S64" s="22">
        <f t="shared" si="29"/>
        <v>239.31537686582283</v>
      </c>
      <c r="T64" s="22">
        <f t="shared" si="29"/>
        <v>247.37901390590105</v>
      </c>
      <c r="U64" s="22">
        <f t="shared" si="29"/>
        <v>126.30530702377476</v>
      </c>
      <c r="V64" s="22">
        <f t="shared" si="29"/>
        <v>129.03224168201791</v>
      </c>
      <c r="W64" s="22">
        <f t="shared" si="29"/>
        <v>131.87312486020193</v>
      </c>
      <c r="X64" s="22">
        <f t="shared" si="29"/>
        <v>273.45821637176948</v>
      </c>
      <c r="Y64" s="22">
        <f t="shared" si="29"/>
        <v>282.05370106869248</v>
      </c>
      <c r="Z64" s="22">
        <f t="shared" si="29"/>
        <v>289.52071616054138</v>
      </c>
      <c r="AA64" s="22">
        <f t="shared" si="29"/>
        <v>295.84728864135138</v>
      </c>
      <c r="AB64" s="22">
        <f t="shared" si="29"/>
        <v>302.30343928523303</v>
      </c>
      <c r="AC64" s="22">
        <f t="shared" si="29"/>
        <v>308.89178223491268</v>
      </c>
      <c r="AD64" s="22">
        <f t="shared" si="29"/>
        <v>315.61498417633737</v>
      </c>
      <c r="AE64" s="22">
        <f t="shared" si="29"/>
        <v>322.4757653938014</v>
      </c>
      <c r="AF64" s="22">
        <f t="shared" si="29"/>
        <v>329.47690084625651</v>
      </c>
      <c r="AG64" s="22">
        <f t="shared" si="29"/>
        <v>167.17559166705777</v>
      </c>
      <c r="AH64" s="22">
        <f t="shared" si="29"/>
        <v>169.65730860571765</v>
      </c>
      <c r="AI64" s="22">
        <f t="shared" si="29"/>
        <v>172.18447434660075</v>
      </c>
      <c r="AJ64" s="22">
        <f t="shared" si="29"/>
        <v>351.92547267722654</v>
      </c>
      <c r="AK64" s="22">
        <f t="shared" si="29"/>
        <v>359.63691046692605</v>
      </c>
      <c r="AL64" s="22">
        <f t="shared" si="29"/>
        <v>367.50638803988204</v>
      </c>
      <c r="AM64" s="22">
        <f t="shared" si="29"/>
        <v>375.5370942080919</v>
      </c>
      <c r="AN64" s="22">
        <f t="shared" si="29"/>
        <v>383.73228187977014</v>
      </c>
      <c r="AO64" s="22">
        <f t="shared" si="29"/>
        <v>392.0952693464846</v>
      </c>
      <c r="AP64" s="22">
        <f t="shared" si="29"/>
        <v>400.62944159613318</v>
      </c>
      <c r="AQ64" s="22">
        <f t="shared" si="29"/>
        <v>409.3382516522812</v>
      </c>
      <c r="AR64" s="22">
        <f t="shared" si="29"/>
        <v>418.22522194038675</v>
      </c>
      <c r="AS64" s="22">
        <f t="shared" si="29"/>
        <v>212.20622370912744</v>
      </c>
      <c r="AT64" s="22">
        <f t="shared" si="29"/>
        <v>215.35641910916411</v>
      </c>
      <c r="AU64" s="22">
        <f t="shared" si="29"/>
        <v>218.56430545915191</v>
      </c>
      <c r="AV64" s="22">
        <f t="shared" si="29"/>
        <v>446.72056990601885</v>
      </c>
      <c r="AW64" s="22">
        <f t="shared" si="29"/>
        <v>456.50917048102991</v>
      </c>
      <c r="AX64" s="22">
        <f t="shared" si="29"/>
        <v>466.49838063825496</v>
      </c>
      <c r="AY64" s="22">
        <f t="shared" si="29"/>
        <v>476.69224813218551</v>
      </c>
    </row>
    <row r="65" spans="2:51" x14ac:dyDescent="0.35">
      <c r="B65" t="s">
        <v>139</v>
      </c>
      <c r="C65" t="s">
        <v>14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>
        <f t="shared" ref="P65:AY65" si="30">P12*P63/1000</f>
        <v>181.22916666666669</v>
      </c>
      <c r="Q65" s="22">
        <f t="shared" si="30"/>
        <v>186.97784218749996</v>
      </c>
      <c r="R65" s="22">
        <f t="shared" si="30"/>
        <v>193.04185455691399</v>
      </c>
      <c r="S65" s="22">
        <f t="shared" si="30"/>
        <v>199.42948072151904</v>
      </c>
      <c r="T65" s="22">
        <f t="shared" si="30"/>
        <v>206.14917825491756</v>
      </c>
      <c r="U65" s="22">
        <f t="shared" si="30"/>
        <v>105.25442251981231</v>
      </c>
      <c r="V65" s="22">
        <f t="shared" si="30"/>
        <v>107.52686806834826</v>
      </c>
      <c r="W65" s="22">
        <f t="shared" si="30"/>
        <v>109.89427071683494</v>
      </c>
      <c r="X65" s="22">
        <f t="shared" si="30"/>
        <v>227.88184697647461</v>
      </c>
      <c r="Y65" s="22">
        <f t="shared" si="30"/>
        <v>235.04475089057709</v>
      </c>
      <c r="Z65" s="22">
        <f t="shared" si="30"/>
        <v>241.26726346711783</v>
      </c>
      <c r="AA65" s="22">
        <f t="shared" si="30"/>
        <v>246.53940720112615</v>
      </c>
      <c r="AB65" s="22">
        <f t="shared" si="30"/>
        <v>251.91953273769423</v>
      </c>
      <c r="AC65" s="22">
        <f t="shared" si="30"/>
        <v>257.40981852909391</v>
      </c>
      <c r="AD65" s="22">
        <f t="shared" si="30"/>
        <v>263.01248681361449</v>
      </c>
      <c r="AE65" s="22">
        <f t="shared" si="30"/>
        <v>268.72980449483447</v>
      </c>
      <c r="AF65" s="22">
        <f t="shared" si="30"/>
        <v>274.56408403854715</v>
      </c>
      <c r="AG65" s="22">
        <f t="shared" si="30"/>
        <v>139.31299305588149</v>
      </c>
      <c r="AH65" s="22">
        <f t="shared" si="30"/>
        <v>141.3810905047647</v>
      </c>
      <c r="AI65" s="22">
        <f t="shared" si="30"/>
        <v>143.48706195550065</v>
      </c>
      <c r="AJ65" s="22">
        <f t="shared" si="30"/>
        <v>293.27122723102212</v>
      </c>
      <c r="AK65" s="22">
        <f t="shared" si="30"/>
        <v>299.69742538910504</v>
      </c>
      <c r="AL65" s="22">
        <f t="shared" si="30"/>
        <v>306.2553233665684</v>
      </c>
      <c r="AM65" s="22">
        <f t="shared" si="30"/>
        <v>312.9475785067433</v>
      </c>
      <c r="AN65" s="22">
        <f t="shared" si="30"/>
        <v>319.77690156647515</v>
      </c>
      <c r="AO65" s="22">
        <f t="shared" si="30"/>
        <v>326.74605778873718</v>
      </c>
      <c r="AP65" s="22">
        <f t="shared" si="30"/>
        <v>333.85786799677771</v>
      </c>
      <c r="AQ65" s="22">
        <f t="shared" si="30"/>
        <v>341.11520971023435</v>
      </c>
      <c r="AR65" s="22">
        <f t="shared" si="30"/>
        <v>348.52101828365562</v>
      </c>
      <c r="AS65" s="22">
        <f t="shared" si="30"/>
        <v>176.83851975760618</v>
      </c>
      <c r="AT65" s="22">
        <f t="shared" si="30"/>
        <v>179.46368259097011</v>
      </c>
      <c r="AU65" s="22">
        <f t="shared" si="30"/>
        <v>182.13692121595994</v>
      </c>
      <c r="AV65" s="22">
        <f t="shared" si="30"/>
        <v>372.26714158834909</v>
      </c>
      <c r="AW65" s="22">
        <f t="shared" si="30"/>
        <v>380.42430873419164</v>
      </c>
      <c r="AX65" s="22">
        <f t="shared" si="30"/>
        <v>388.74865053187915</v>
      </c>
      <c r="AY65" s="22">
        <f t="shared" si="30"/>
        <v>397.24354011015458</v>
      </c>
    </row>
    <row r="67" spans="2:51" x14ac:dyDescent="0.35">
      <c r="B67" s="20" t="s">
        <v>140</v>
      </c>
      <c r="C67" s="20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</row>
    <row r="68" spans="2:51" x14ac:dyDescent="0.35">
      <c r="B68" t="s">
        <v>141</v>
      </c>
      <c r="C68" t="s">
        <v>14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>
        <f>Предпосылки!$C$48*Предпосылки!$C$49/12/1000</f>
        <v>600</v>
      </c>
      <c r="Q68" s="22">
        <f>IF(MONTH(Q$1)=1,P68*(1+Предпосылки!$C$52),P68)</f>
        <v>600</v>
      </c>
      <c r="R68" s="22">
        <f>IF(MONTH(R$1)=1,Q68*(1+Предпосылки!$C$52),Q68)</f>
        <v>600</v>
      </c>
      <c r="S68" s="22">
        <f>IF(MONTH(S$1)=1,R68*(1+Предпосылки!$C$52),R68)</f>
        <v>600</v>
      </c>
      <c r="T68" s="22">
        <f>IF(MONTH(T$1)=1,S68*(1+Предпосылки!$C$52),S68)</f>
        <v>600</v>
      </c>
      <c r="U68" s="22">
        <f>IF(MONTH(U$1)=1,T68*(1+Предпосылки!$C$52),T68)</f>
        <v>600</v>
      </c>
      <c r="V68" s="22">
        <f>IF(MONTH(V$1)=1,U68*(1+Предпосылки!$C$52),U68)</f>
        <v>600</v>
      </c>
      <c r="W68" s="22">
        <f>IF(MONTH(W$1)=1,V68*(1+Предпосылки!$C$52),V68)</f>
        <v>600</v>
      </c>
      <c r="X68" s="22">
        <f>IF(MONTH(X$1)=1,W68*(1+Предпосылки!$C$52),W68)</f>
        <v>600</v>
      </c>
      <c r="Y68" s="22">
        <f>IF(MONTH(Y$1)=1,X68*(1+Предпосылки!$C$52),X68)</f>
        <v>600</v>
      </c>
      <c r="Z68" s="22">
        <f>IF(MONTH(Z$1)=1,Y68*(1+Предпосылки!$C$52),Y68)</f>
        <v>600</v>
      </c>
      <c r="AA68" s="22">
        <f>IF(MONTH(AA$1)=1,Z68*(1+Предпосылки!$C$52),Z68)</f>
        <v>600</v>
      </c>
      <c r="AB68" s="22">
        <f>IF(MONTH(AB$1)=1,AA68*(1+Предпосылки!$C$52),AA68)</f>
        <v>630</v>
      </c>
      <c r="AC68" s="22">
        <f>IF(MONTH(AC$1)=1,AB68*(1+Предпосылки!$C$52),AB68)</f>
        <v>630</v>
      </c>
      <c r="AD68" s="22">
        <f>IF(MONTH(AD$1)=1,AC68*(1+Предпосылки!$C$52),AC68)</f>
        <v>630</v>
      </c>
      <c r="AE68" s="22">
        <f>IF(MONTH(AE$1)=1,AD68*(1+Предпосылки!$C$52),AD68)</f>
        <v>630</v>
      </c>
      <c r="AF68" s="22">
        <f>IF(MONTH(AF$1)=1,AE68*(1+Предпосылки!$C$52),AE68)</f>
        <v>630</v>
      </c>
      <c r="AG68" s="22">
        <f>IF(MONTH(AG$1)=1,AF68*(1+Предпосылки!$C$52),AF68)</f>
        <v>630</v>
      </c>
      <c r="AH68" s="22">
        <f>IF(MONTH(AH$1)=1,AG68*(1+Предпосылки!$C$52),AG68)</f>
        <v>630</v>
      </c>
      <c r="AI68" s="22">
        <f>IF(MONTH(AI$1)=1,AH68*(1+Предпосылки!$C$52),AH68)</f>
        <v>630</v>
      </c>
      <c r="AJ68" s="22">
        <f>IF(MONTH(AJ$1)=1,AI68*(1+Предпосылки!$C$52),AI68)</f>
        <v>630</v>
      </c>
      <c r="AK68" s="22">
        <f>IF(MONTH(AK$1)=1,AJ68*(1+Предпосылки!$C$52),AJ68)</f>
        <v>630</v>
      </c>
      <c r="AL68" s="22">
        <f>IF(MONTH(AL$1)=1,AK68*(1+Предпосылки!$C$52),AK68)</f>
        <v>630</v>
      </c>
      <c r="AM68" s="22">
        <f>IF(MONTH(AM$1)=1,AL68*(1+Предпосылки!$C$52),AL68)</f>
        <v>630</v>
      </c>
      <c r="AN68" s="22">
        <f>IF(MONTH(AN$1)=1,AM68*(1+Предпосылки!$C$52),AM68)</f>
        <v>661.5</v>
      </c>
      <c r="AO68" s="22">
        <f>IF(MONTH(AO$1)=1,AN68*(1+Предпосылки!$C$52),AN68)</f>
        <v>661.5</v>
      </c>
      <c r="AP68" s="22">
        <f>IF(MONTH(AP$1)=1,AO68*(1+Предпосылки!$C$52),AO68)</f>
        <v>661.5</v>
      </c>
      <c r="AQ68" s="22">
        <f>IF(MONTH(AQ$1)=1,AP68*(1+Предпосылки!$C$52),AP68)</f>
        <v>661.5</v>
      </c>
      <c r="AR68" s="22">
        <f>IF(MONTH(AR$1)=1,AQ68*(1+Предпосылки!$C$52),AQ68)</f>
        <v>661.5</v>
      </c>
      <c r="AS68" s="22">
        <f>IF(MONTH(AS$1)=1,AR68*(1+Предпосылки!$C$52),AR68)</f>
        <v>661.5</v>
      </c>
      <c r="AT68" s="22">
        <f>IF(MONTH(AT$1)=1,AS68*(1+Предпосылки!$C$52),AS68)</f>
        <v>661.5</v>
      </c>
      <c r="AU68" s="22">
        <f>IF(MONTH(AU$1)=1,AT68*(1+Предпосылки!$C$52),AT68)</f>
        <v>661.5</v>
      </c>
      <c r="AV68" s="22">
        <f>IF(MONTH(AV$1)=1,AU68*(1+Предпосылки!$C$52),AU68)</f>
        <v>661.5</v>
      </c>
      <c r="AW68" s="22">
        <f>IF(MONTH(AW$1)=1,AV68*(1+Предпосылки!$C$52),AV68)</f>
        <v>661.5</v>
      </c>
      <c r="AX68" s="22">
        <f>IF(MONTH(AX$1)=1,AW68*(1+Предпосылки!$C$52),AW68)</f>
        <v>661.5</v>
      </c>
      <c r="AY68" s="22">
        <f>IF(MONTH(AY$1)=1,AX68*(1+Предпосылки!$C$52),AX68)</f>
        <v>661.5</v>
      </c>
    </row>
    <row r="69" spans="2:51" x14ac:dyDescent="0.35">
      <c r="B69" t="s">
        <v>142</v>
      </c>
      <c r="C69" t="s">
        <v>14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>
        <f>P68/(1+Предпосылки!$C$50)</f>
        <v>500</v>
      </c>
      <c r="Q69" s="22">
        <f>Q68/(1+Предпосылки!$C$50)</f>
        <v>500</v>
      </c>
      <c r="R69" s="22">
        <f>R68/(1+Предпосылки!$C$50)</f>
        <v>500</v>
      </c>
      <c r="S69" s="22">
        <f>S68/(1+Предпосылки!$C$50)</f>
        <v>500</v>
      </c>
      <c r="T69" s="22">
        <f>T68/(1+Предпосылки!$C$50)</f>
        <v>500</v>
      </c>
      <c r="U69" s="22">
        <f>U68/(1+Предпосылки!$C$50)</f>
        <v>500</v>
      </c>
      <c r="V69" s="22">
        <f>V68/(1+Предпосылки!$C$50)</f>
        <v>500</v>
      </c>
      <c r="W69" s="22">
        <f>W68/(1+Предпосылки!$C$50)</f>
        <v>500</v>
      </c>
      <c r="X69" s="22">
        <f>X68/(1+Предпосылки!$C$50)</f>
        <v>500</v>
      </c>
      <c r="Y69" s="22">
        <f>Y68/(1+Предпосылки!$C$50)</f>
        <v>500</v>
      </c>
      <c r="Z69" s="22">
        <f>Z68/(1+Предпосылки!$C$50)</f>
        <v>500</v>
      </c>
      <c r="AA69" s="22">
        <f>AA68/(1+Предпосылки!$C$50)</f>
        <v>500</v>
      </c>
      <c r="AB69" s="22">
        <f>AB68/(1+Предпосылки!$C$50)</f>
        <v>525</v>
      </c>
      <c r="AC69" s="22">
        <f>AC68/(1+Предпосылки!$C$50)</f>
        <v>525</v>
      </c>
      <c r="AD69" s="22">
        <f>AD68/(1+Предпосылки!$C$50)</f>
        <v>525</v>
      </c>
      <c r="AE69" s="22">
        <f>AE68/(1+Предпосылки!$C$50)</f>
        <v>525</v>
      </c>
      <c r="AF69" s="22">
        <f>AF68/(1+Предпосылки!$C$50)</f>
        <v>525</v>
      </c>
      <c r="AG69" s="22">
        <f>AG68/(1+Предпосылки!$C$50)</f>
        <v>525</v>
      </c>
      <c r="AH69" s="22">
        <f>AH68/(1+Предпосылки!$C$50)</f>
        <v>525</v>
      </c>
      <c r="AI69" s="22">
        <f>AI68/(1+Предпосылки!$C$50)</f>
        <v>525</v>
      </c>
      <c r="AJ69" s="22">
        <f>AJ68/(1+Предпосылки!$C$50)</f>
        <v>525</v>
      </c>
      <c r="AK69" s="22">
        <f>AK68/(1+Предпосылки!$C$50)</f>
        <v>525</v>
      </c>
      <c r="AL69" s="22">
        <f>AL68/(1+Предпосылки!$C$50)</f>
        <v>525</v>
      </c>
      <c r="AM69" s="22">
        <f>AM68/(1+Предпосылки!$C$50)</f>
        <v>525</v>
      </c>
      <c r="AN69" s="22">
        <f>AN68/(1+Предпосылки!$C$50)</f>
        <v>551.25</v>
      </c>
      <c r="AO69" s="22">
        <f>AO68/(1+Предпосылки!$C$50)</f>
        <v>551.25</v>
      </c>
      <c r="AP69" s="22">
        <f>AP68/(1+Предпосылки!$C$50)</f>
        <v>551.25</v>
      </c>
      <c r="AQ69" s="22">
        <f>AQ68/(1+Предпосылки!$C$50)</f>
        <v>551.25</v>
      </c>
      <c r="AR69" s="22">
        <f>AR68/(1+Предпосылки!$C$50)</f>
        <v>551.25</v>
      </c>
      <c r="AS69" s="22">
        <f>AS68/(1+Предпосылки!$C$50)</f>
        <v>551.25</v>
      </c>
      <c r="AT69" s="22">
        <f>AT68/(1+Предпосылки!$C$50)</f>
        <v>551.25</v>
      </c>
      <c r="AU69" s="22">
        <f>AU68/(1+Предпосылки!$C$50)</f>
        <v>551.25</v>
      </c>
      <c r="AV69" s="22">
        <f>AV68/(1+Предпосылки!$C$50)</f>
        <v>551.25</v>
      </c>
      <c r="AW69" s="22">
        <f>AW68/(1+Предпосылки!$C$50)</f>
        <v>551.25</v>
      </c>
      <c r="AX69" s="22">
        <f>AX68/(1+Предпосылки!$C$50)</f>
        <v>551.25</v>
      </c>
      <c r="AY69" s="22">
        <f>AY68/(1+Предпосылки!$C$50)</f>
        <v>551.25</v>
      </c>
    </row>
    <row r="70" spans="2:51" x14ac:dyDescent="0.35">
      <c r="B70" t="s">
        <v>143</v>
      </c>
      <c r="C70" t="s">
        <v>14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>
        <f>Предпосылки!$C$51</f>
        <v>10</v>
      </c>
      <c r="Q70" s="22">
        <f>IF(MONTH(Q$1)=1,P70*(1+Предпосылки!$C$52),P70)</f>
        <v>10</v>
      </c>
      <c r="R70" s="22">
        <f>IF(MONTH(R$1)=1,Q70*(1+Предпосылки!$C$52),Q70)</f>
        <v>10</v>
      </c>
      <c r="S70" s="22">
        <f>IF(MONTH(S$1)=1,R70*(1+Предпосылки!$C$52),R70)</f>
        <v>10</v>
      </c>
      <c r="T70" s="22">
        <f>IF(MONTH(T$1)=1,S70*(1+Предпосылки!$C$52),S70)</f>
        <v>10</v>
      </c>
      <c r="U70" s="22">
        <f>IF(MONTH(U$1)=1,T70*(1+Предпосылки!$C$52),T70)</f>
        <v>10</v>
      </c>
      <c r="V70" s="22">
        <f>IF(MONTH(V$1)=1,U70*(1+Предпосылки!$C$52),U70)</f>
        <v>10</v>
      </c>
      <c r="W70" s="22">
        <f>IF(MONTH(W$1)=1,V70*(1+Предпосылки!$C$52),V70)</f>
        <v>10</v>
      </c>
      <c r="X70" s="22">
        <f>IF(MONTH(X$1)=1,W70*(1+Предпосылки!$C$52),W70)</f>
        <v>10</v>
      </c>
      <c r="Y70" s="22">
        <f>IF(MONTH(Y$1)=1,X70*(1+Предпосылки!$C$52),X70)</f>
        <v>10</v>
      </c>
      <c r="Z70" s="22">
        <f>IF(MONTH(Z$1)=1,Y70*(1+Предпосылки!$C$52),Y70)</f>
        <v>10</v>
      </c>
      <c r="AA70" s="22">
        <f>IF(MONTH(AA$1)=1,Z70*(1+Предпосылки!$C$52),Z70)</f>
        <v>10</v>
      </c>
      <c r="AB70" s="22">
        <f>IF(MONTH(AB$1)=1,AA70*(1+Предпосылки!$C$52),AA70)</f>
        <v>10.5</v>
      </c>
      <c r="AC70" s="22">
        <f>IF(MONTH(AC$1)=1,AB70*(1+Предпосылки!$C$52),AB70)</f>
        <v>10.5</v>
      </c>
      <c r="AD70" s="22">
        <f>IF(MONTH(AD$1)=1,AC70*(1+Предпосылки!$C$52),AC70)</f>
        <v>10.5</v>
      </c>
      <c r="AE70" s="22">
        <f>IF(MONTH(AE$1)=1,AD70*(1+Предпосылки!$C$52),AD70)</f>
        <v>10.5</v>
      </c>
      <c r="AF70" s="22">
        <f>IF(MONTH(AF$1)=1,AE70*(1+Предпосылки!$C$52),AE70)</f>
        <v>10.5</v>
      </c>
      <c r="AG70" s="22">
        <f>IF(MONTH(AG$1)=1,AF70*(1+Предпосылки!$C$52),AF70)</f>
        <v>10.5</v>
      </c>
      <c r="AH70" s="22">
        <f>IF(MONTH(AH$1)=1,AG70*(1+Предпосылки!$C$52),AG70)</f>
        <v>10.5</v>
      </c>
      <c r="AI70" s="22">
        <f>IF(MONTH(AI$1)=1,AH70*(1+Предпосылки!$C$52),AH70)</f>
        <v>10.5</v>
      </c>
      <c r="AJ70" s="22">
        <f>IF(MONTH(AJ$1)=1,AI70*(1+Предпосылки!$C$52),AI70)</f>
        <v>10.5</v>
      </c>
      <c r="AK70" s="22">
        <f>IF(MONTH(AK$1)=1,AJ70*(1+Предпосылки!$C$52),AJ70)</f>
        <v>10.5</v>
      </c>
      <c r="AL70" s="22">
        <f>IF(MONTH(AL$1)=1,AK70*(1+Предпосылки!$C$52),AK70)</f>
        <v>10.5</v>
      </c>
      <c r="AM70" s="22">
        <f>IF(MONTH(AM$1)=1,AL70*(1+Предпосылки!$C$52),AL70)</f>
        <v>10.5</v>
      </c>
      <c r="AN70" s="22">
        <f>IF(MONTH(AN$1)=1,AM70*(1+Предпосылки!$C$52),AM70)</f>
        <v>11.025</v>
      </c>
      <c r="AO70" s="22">
        <f>IF(MONTH(AO$1)=1,AN70*(1+Предпосылки!$C$52),AN70)</f>
        <v>11.025</v>
      </c>
      <c r="AP70" s="22">
        <f>IF(MONTH(AP$1)=1,AO70*(1+Предпосылки!$C$52),AO70)</f>
        <v>11.025</v>
      </c>
      <c r="AQ70" s="22">
        <f>IF(MONTH(AQ$1)=1,AP70*(1+Предпосылки!$C$52),AP70)</f>
        <v>11.025</v>
      </c>
      <c r="AR70" s="22">
        <f>IF(MONTH(AR$1)=1,AQ70*(1+Предпосылки!$C$52),AQ70)</f>
        <v>11.025</v>
      </c>
      <c r="AS70" s="22">
        <f>IF(MONTH(AS$1)=1,AR70*(1+Предпосылки!$C$52),AR70)</f>
        <v>11.025</v>
      </c>
      <c r="AT70" s="22">
        <f>IF(MONTH(AT$1)=1,AS70*(1+Предпосылки!$C$52),AS70)</f>
        <v>11.025</v>
      </c>
      <c r="AU70" s="22">
        <f>IF(MONTH(AU$1)=1,AT70*(1+Предпосылки!$C$52),AT70)</f>
        <v>11.025</v>
      </c>
      <c r="AV70" s="22">
        <f>IF(MONTH(AV$1)=1,AU70*(1+Предпосылки!$C$52),AU70)</f>
        <v>11.025</v>
      </c>
      <c r="AW70" s="22">
        <f>IF(MONTH(AW$1)=1,AV70*(1+Предпосылки!$C$52),AV70)</f>
        <v>11.025</v>
      </c>
      <c r="AX70" s="22">
        <f>IF(MONTH(AX$1)=1,AW70*(1+Предпосылки!$C$52),AW70)</f>
        <v>11.025</v>
      </c>
      <c r="AY70" s="22">
        <f>IF(MONTH(AY$1)=1,AX70*(1+Предпосылки!$C$52),AX70)</f>
        <v>11.025</v>
      </c>
    </row>
    <row r="71" spans="2:51" x14ac:dyDescent="0.35">
      <c r="B71" t="s">
        <v>144</v>
      </c>
      <c r="C71" t="s">
        <v>14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>
        <f>P70/(1+Предпосылки!$C$50)</f>
        <v>8.3333333333333339</v>
      </c>
      <c r="Q71" s="22">
        <f>Q70/(1+Предпосылки!$C$50)</f>
        <v>8.3333333333333339</v>
      </c>
      <c r="R71" s="22">
        <f>R70/(1+Предпосылки!$C$50)</f>
        <v>8.3333333333333339</v>
      </c>
      <c r="S71" s="22">
        <f>S70/(1+Предпосылки!$C$50)</f>
        <v>8.3333333333333339</v>
      </c>
      <c r="T71" s="22">
        <f>T70/(1+Предпосылки!$C$50)</f>
        <v>8.3333333333333339</v>
      </c>
      <c r="U71" s="22">
        <f>U70/(1+Предпосылки!$C$50)</f>
        <v>8.3333333333333339</v>
      </c>
      <c r="V71" s="22">
        <f>V70/(1+Предпосылки!$C$50)</f>
        <v>8.3333333333333339</v>
      </c>
      <c r="W71" s="22">
        <f>W70/(1+Предпосылки!$C$50)</f>
        <v>8.3333333333333339</v>
      </c>
      <c r="X71" s="22">
        <f>X70/(1+Предпосылки!$C$50)</f>
        <v>8.3333333333333339</v>
      </c>
      <c r="Y71" s="22">
        <f>Y70/(1+Предпосылки!$C$50)</f>
        <v>8.3333333333333339</v>
      </c>
      <c r="Z71" s="22">
        <f>Z70/(1+Предпосылки!$C$50)</f>
        <v>8.3333333333333339</v>
      </c>
      <c r="AA71" s="22">
        <f>AA70/(1+Предпосылки!$C$50)</f>
        <v>8.3333333333333339</v>
      </c>
      <c r="AB71" s="22">
        <f>AB70/(1+Предпосылки!$C$50)</f>
        <v>8.75</v>
      </c>
      <c r="AC71" s="22">
        <f>AC70/(1+Предпосылки!$C$50)</f>
        <v>8.75</v>
      </c>
      <c r="AD71" s="22">
        <f>AD70/(1+Предпосылки!$C$50)</f>
        <v>8.75</v>
      </c>
      <c r="AE71" s="22">
        <f>AE70/(1+Предпосылки!$C$50)</f>
        <v>8.75</v>
      </c>
      <c r="AF71" s="22">
        <f>AF70/(1+Предпосылки!$C$50)</f>
        <v>8.75</v>
      </c>
      <c r="AG71" s="22">
        <f>AG70/(1+Предпосылки!$C$50)</f>
        <v>8.75</v>
      </c>
      <c r="AH71" s="22">
        <f>AH70/(1+Предпосылки!$C$50)</f>
        <v>8.75</v>
      </c>
      <c r="AI71" s="22">
        <f>AI70/(1+Предпосылки!$C$50)</f>
        <v>8.75</v>
      </c>
      <c r="AJ71" s="22">
        <f>AJ70/(1+Предпосылки!$C$50)</f>
        <v>8.75</v>
      </c>
      <c r="AK71" s="22">
        <f>AK70/(1+Предпосылки!$C$50)</f>
        <v>8.75</v>
      </c>
      <c r="AL71" s="22">
        <f>AL70/(1+Предпосылки!$C$50)</f>
        <v>8.75</v>
      </c>
      <c r="AM71" s="22">
        <f>AM70/(1+Предпосылки!$C$50)</f>
        <v>8.75</v>
      </c>
      <c r="AN71" s="22">
        <f>AN70/(1+Предпосылки!$C$50)</f>
        <v>9.1875</v>
      </c>
      <c r="AO71" s="22">
        <f>AO70/(1+Предпосылки!$C$50)</f>
        <v>9.1875</v>
      </c>
      <c r="AP71" s="22">
        <f>AP70/(1+Предпосылки!$C$50)</f>
        <v>9.1875</v>
      </c>
      <c r="AQ71" s="22">
        <f>AQ70/(1+Предпосылки!$C$50)</f>
        <v>9.1875</v>
      </c>
      <c r="AR71" s="22">
        <f>AR70/(1+Предпосылки!$C$50)</f>
        <v>9.1875</v>
      </c>
      <c r="AS71" s="22">
        <f>AS70/(1+Предпосылки!$C$50)</f>
        <v>9.1875</v>
      </c>
      <c r="AT71" s="22">
        <f>AT70/(1+Предпосылки!$C$50)</f>
        <v>9.1875</v>
      </c>
      <c r="AU71" s="22">
        <f>AU70/(1+Предпосылки!$C$50)</f>
        <v>9.1875</v>
      </c>
      <c r="AV71" s="22">
        <f>AV70/(1+Предпосылки!$C$50)</f>
        <v>9.1875</v>
      </c>
      <c r="AW71" s="22">
        <f>AW70/(1+Предпосылки!$C$50)</f>
        <v>9.1875</v>
      </c>
      <c r="AX71" s="22">
        <f>AX70/(1+Предпосылки!$C$50)</f>
        <v>9.1875</v>
      </c>
      <c r="AY71" s="22">
        <f>AY70/(1+Предпосылки!$C$50)</f>
        <v>9.1875</v>
      </c>
    </row>
    <row r="73" spans="2:51" x14ac:dyDescent="0.35">
      <c r="B73" s="20" t="s">
        <v>145</v>
      </c>
      <c r="C73" s="20" t="s">
        <v>14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</row>
    <row r="74" spans="2:51" x14ac:dyDescent="0.35">
      <c r="B74" t="s">
        <v>57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>
        <f>Предпосылки!$C$69</f>
        <v>100</v>
      </c>
      <c r="Q74" s="22">
        <f>IF(MONTH(Q$1)=1,P74*(1+Предпосылки!$C$52),P74)</f>
        <v>100</v>
      </c>
      <c r="R74" s="22">
        <f>IF(MONTH(R$1)=1,Q74*(1+Предпосылки!$C$52),Q74)</f>
        <v>100</v>
      </c>
      <c r="S74" s="22">
        <f>IF(MONTH(S$1)=1,R74*(1+Предпосылки!$C$52),R74)</f>
        <v>100</v>
      </c>
      <c r="T74" s="22">
        <f>IF(MONTH(T$1)=1,S74*(1+Предпосылки!$C$52),S74)</f>
        <v>100</v>
      </c>
      <c r="U74" s="22">
        <f>IF(MONTH(U$1)=1,T74*(1+Предпосылки!$C$52),T74)</f>
        <v>100</v>
      </c>
      <c r="V74" s="22">
        <f>IF(MONTH(V$1)=1,U74*(1+Предпосылки!$C$52),U74)</f>
        <v>100</v>
      </c>
      <c r="W74" s="22">
        <f>IF(MONTH(W$1)=1,V74*(1+Предпосылки!$C$52),V74)</f>
        <v>100</v>
      </c>
      <c r="X74" s="22">
        <f>IF(MONTH(X$1)=1,W74*(1+Предпосылки!$C$52),W74)</f>
        <v>100</v>
      </c>
      <c r="Y74" s="22">
        <f>IF(MONTH(Y$1)=1,X74*(1+Предпосылки!$C$52),X74)</f>
        <v>100</v>
      </c>
      <c r="Z74" s="22">
        <f>IF(MONTH(Z$1)=1,Y74*(1+Предпосылки!$C$52),Y74)</f>
        <v>100</v>
      </c>
      <c r="AA74" s="22">
        <f>IF(MONTH(AA$1)=1,Z74*(1+Предпосылки!$C$52),Z74)</f>
        <v>100</v>
      </c>
      <c r="AB74" s="22">
        <f>IF(MONTH(AB$1)=1,AA74*(1+Предпосылки!$C$52),AA74)</f>
        <v>105</v>
      </c>
      <c r="AC74" s="22">
        <f>IF(MONTH(AC$1)=1,AB74*(1+Предпосылки!$C$52),AB74)</f>
        <v>105</v>
      </c>
      <c r="AD74" s="22">
        <f>IF(MONTH(AD$1)=1,AC74*(1+Предпосылки!$C$52),AC74)</f>
        <v>105</v>
      </c>
      <c r="AE74" s="22">
        <f>IF(MONTH(AE$1)=1,AD74*(1+Предпосылки!$C$52),AD74)</f>
        <v>105</v>
      </c>
      <c r="AF74" s="22">
        <f>IF(MONTH(AF$1)=1,AE74*(1+Предпосылки!$C$52),AE74)</f>
        <v>105</v>
      </c>
      <c r="AG74" s="22">
        <f>IF(MONTH(AG$1)=1,AF74*(1+Предпосылки!$C$52),AF74)</f>
        <v>105</v>
      </c>
      <c r="AH74" s="22">
        <f>IF(MONTH(AH$1)=1,AG74*(1+Предпосылки!$C$52),AG74)</f>
        <v>105</v>
      </c>
      <c r="AI74" s="22">
        <f>IF(MONTH(AI$1)=1,AH74*(1+Предпосылки!$C$52),AH74)</f>
        <v>105</v>
      </c>
      <c r="AJ74" s="22">
        <f>IF(MONTH(AJ$1)=1,AI74*(1+Предпосылки!$C$52),AI74)</f>
        <v>105</v>
      </c>
      <c r="AK74" s="22">
        <f>IF(MONTH(AK$1)=1,AJ74*(1+Предпосылки!$C$52),AJ74)</f>
        <v>105</v>
      </c>
      <c r="AL74" s="22">
        <f>IF(MONTH(AL$1)=1,AK74*(1+Предпосылки!$C$52),AK74)</f>
        <v>105</v>
      </c>
      <c r="AM74" s="22">
        <f>IF(MONTH(AM$1)=1,AL74*(1+Предпосылки!$C$52),AL74)</f>
        <v>105</v>
      </c>
      <c r="AN74" s="22">
        <f>IF(MONTH(AN$1)=1,AM74*(1+Предпосылки!$C$52),AM74)</f>
        <v>110.25</v>
      </c>
      <c r="AO74" s="22">
        <f>IF(MONTH(AO$1)=1,AN74*(1+Предпосылки!$C$52),AN74)</f>
        <v>110.25</v>
      </c>
      <c r="AP74" s="22">
        <f>IF(MONTH(AP$1)=1,AO74*(1+Предпосылки!$C$52),AO74)</f>
        <v>110.25</v>
      </c>
      <c r="AQ74" s="22">
        <f>IF(MONTH(AQ$1)=1,AP74*(1+Предпосылки!$C$52),AP74)</f>
        <v>110.25</v>
      </c>
      <c r="AR74" s="22">
        <f>IF(MONTH(AR$1)=1,AQ74*(1+Предпосылки!$C$52),AQ74)</f>
        <v>110.25</v>
      </c>
      <c r="AS74" s="22">
        <f>IF(MONTH(AS$1)=1,AR74*(1+Предпосылки!$C$52),AR74)</f>
        <v>110.25</v>
      </c>
      <c r="AT74" s="22">
        <f>IF(MONTH(AT$1)=1,AS74*(1+Предпосылки!$C$52),AS74)</f>
        <v>110.25</v>
      </c>
      <c r="AU74" s="22">
        <f>IF(MONTH(AU$1)=1,AT74*(1+Предпосылки!$C$52),AT74)</f>
        <v>110.25</v>
      </c>
      <c r="AV74" s="22">
        <f>IF(MONTH(AV$1)=1,AU74*(1+Предпосылки!$C$52),AU74)</f>
        <v>110.25</v>
      </c>
      <c r="AW74" s="22">
        <f>IF(MONTH(AW$1)=1,AV74*(1+Предпосылки!$C$52),AV74)</f>
        <v>110.25</v>
      </c>
      <c r="AX74" s="22">
        <f>IF(MONTH(AX$1)=1,AW74*(1+Предпосылки!$C$52),AW74)</f>
        <v>110.25</v>
      </c>
      <c r="AY74" s="22">
        <f>IF(MONTH(AY$1)=1,AX74*(1+Предпосылки!$C$52),AX74)</f>
        <v>110.25</v>
      </c>
    </row>
    <row r="75" spans="2:51" x14ac:dyDescent="0.35">
      <c r="B75" t="s">
        <v>146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>
        <f>Предпосылки!$C$70*Предпосылки!$C$71</f>
        <v>150</v>
      </c>
      <c r="Q75" s="22">
        <f>IF(MONTH(Q$1)=1,P75*(1+Предпосылки!$C$52),P75)</f>
        <v>150</v>
      </c>
      <c r="R75" s="22">
        <f>IF(MONTH(R$1)=1,Q75*(1+Предпосылки!$C$52),Q75)</f>
        <v>150</v>
      </c>
      <c r="S75" s="22">
        <f>IF(MONTH(S$1)=1,R75*(1+Предпосылки!$C$52),R75)</f>
        <v>150</v>
      </c>
      <c r="T75" s="22">
        <f>IF(MONTH(T$1)=1,S75*(1+Предпосылки!$C$52),S75)</f>
        <v>150</v>
      </c>
      <c r="U75" s="22">
        <f>IF(MONTH(U$1)=1,T75*(1+Предпосылки!$C$52),T75)</f>
        <v>150</v>
      </c>
      <c r="V75" s="22">
        <f>IF(MONTH(V$1)=1,U75*(1+Предпосылки!$C$52),U75)</f>
        <v>150</v>
      </c>
      <c r="W75" s="22">
        <f>IF(MONTH(W$1)=1,V75*(1+Предпосылки!$C$52),V75)</f>
        <v>150</v>
      </c>
      <c r="X75" s="22">
        <f>IF(MONTH(X$1)=1,W75*(1+Предпосылки!$C$52),W75)</f>
        <v>150</v>
      </c>
      <c r="Y75" s="22">
        <f>IF(MONTH(Y$1)=1,X75*(1+Предпосылки!$C$52),X75)</f>
        <v>150</v>
      </c>
      <c r="Z75" s="22">
        <f>IF(MONTH(Z$1)=1,Y75*(1+Предпосылки!$C$52),Y75)</f>
        <v>150</v>
      </c>
      <c r="AA75" s="22">
        <f>IF(MONTH(AA$1)=1,Z75*(1+Предпосылки!$C$52),Z75)</f>
        <v>150</v>
      </c>
      <c r="AB75" s="22">
        <f>IF(MONTH(AB$1)=1,AA75*(1+Предпосылки!$C$52),AA75)</f>
        <v>157.5</v>
      </c>
      <c r="AC75" s="22">
        <f>IF(MONTH(AC$1)=1,AB75*(1+Предпосылки!$C$52),AB75)</f>
        <v>157.5</v>
      </c>
      <c r="AD75" s="22">
        <f>IF(MONTH(AD$1)=1,AC75*(1+Предпосылки!$C$52),AC75)</f>
        <v>157.5</v>
      </c>
      <c r="AE75" s="22">
        <f>IF(MONTH(AE$1)=1,AD75*(1+Предпосылки!$C$52),AD75)</f>
        <v>157.5</v>
      </c>
      <c r="AF75" s="22">
        <f>IF(MONTH(AF$1)=1,AE75*(1+Предпосылки!$C$52),AE75)</f>
        <v>157.5</v>
      </c>
      <c r="AG75" s="22">
        <f>IF(MONTH(AG$1)=1,AF75*(1+Предпосылки!$C$52),AF75)</f>
        <v>157.5</v>
      </c>
      <c r="AH75" s="22">
        <f>IF(MONTH(AH$1)=1,AG75*(1+Предпосылки!$C$52),AG75)</f>
        <v>157.5</v>
      </c>
      <c r="AI75" s="22">
        <f>IF(MONTH(AI$1)=1,AH75*(1+Предпосылки!$C$52),AH75)</f>
        <v>157.5</v>
      </c>
      <c r="AJ75" s="22">
        <f>IF(MONTH(AJ$1)=1,AI75*(1+Предпосылки!$C$52),AI75)</f>
        <v>157.5</v>
      </c>
      <c r="AK75" s="22">
        <f>IF(MONTH(AK$1)=1,AJ75*(1+Предпосылки!$C$52),AJ75)</f>
        <v>157.5</v>
      </c>
      <c r="AL75" s="22">
        <f>IF(MONTH(AL$1)=1,AK75*(1+Предпосылки!$C$52),AK75)</f>
        <v>157.5</v>
      </c>
      <c r="AM75" s="22">
        <f>IF(MONTH(AM$1)=1,AL75*(1+Предпосылки!$C$52),AL75)</f>
        <v>157.5</v>
      </c>
      <c r="AN75" s="22">
        <f>IF(MONTH(AN$1)=1,AM75*(1+Предпосылки!$C$52),AM75)</f>
        <v>165.375</v>
      </c>
      <c r="AO75" s="22">
        <f>IF(MONTH(AO$1)=1,AN75*(1+Предпосылки!$C$52),AN75)</f>
        <v>165.375</v>
      </c>
      <c r="AP75" s="22">
        <f>IF(MONTH(AP$1)=1,AO75*(1+Предпосылки!$C$52),AO75)</f>
        <v>165.375</v>
      </c>
      <c r="AQ75" s="22">
        <f>IF(MONTH(AQ$1)=1,AP75*(1+Предпосылки!$C$52),AP75)</f>
        <v>165.375</v>
      </c>
      <c r="AR75" s="22">
        <f>IF(MONTH(AR$1)=1,AQ75*(1+Предпосылки!$C$52),AQ75)</f>
        <v>165.375</v>
      </c>
      <c r="AS75" s="22">
        <f>IF(MONTH(AS$1)=1,AR75*(1+Предпосылки!$C$52),AR75)</f>
        <v>165.375</v>
      </c>
      <c r="AT75" s="22">
        <f>IF(MONTH(AT$1)=1,AS75*(1+Предпосылки!$C$52),AS75)</f>
        <v>165.375</v>
      </c>
      <c r="AU75" s="22">
        <f>IF(MONTH(AU$1)=1,AT75*(1+Предпосылки!$C$52),AT75)</f>
        <v>165.375</v>
      </c>
      <c r="AV75" s="22">
        <f>IF(MONTH(AV$1)=1,AU75*(1+Предпосылки!$C$52),AU75)</f>
        <v>165.375</v>
      </c>
      <c r="AW75" s="22">
        <f>IF(MONTH(AW$1)=1,AV75*(1+Предпосылки!$C$52),AV75)</f>
        <v>165.375</v>
      </c>
      <c r="AX75" s="22">
        <f>IF(MONTH(AX$1)=1,AW75*(1+Предпосылки!$C$52),AW75)</f>
        <v>165.375</v>
      </c>
      <c r="AY75" s="22">
        <f>IF(MONTH(AY$1)=1,AX75*(1+Предпосылки!$C$52),AX75)</f>
        <v>165.375</v>
      </c>
    </row>
    <row r="76" spans="2:51" x14ac:dyDescent="0.35">
      <c r="B76" t="s">
        <v>147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>
        <f>Предпосылки!$C$72*Предпосылки!$C$73</f>
        <v>180</v>
      </c>
      <c r="Q76" s="22">
        <f>IF(MONTH(Q$1)=1,P76*(1+Предпосылки!$C$52),P76)</f>
        <v>180</v>
      </c>
      <c r="R76" s="22">
        <f>IF(MONTH(R$1)=1,Q76*(1+Предпосылки!$C$52),Q76)</f>
        <v>180</v>
      </c>
      <c r="S76" s="22">
        <f>IF(MONTH(S$1)=1,R76*(1+Предпосылки!$C$52),R76)</f>
        <v>180</v>
      </c>
      <c r="T76" s="22">
        <f>IF(MONTH(T$1)=1,S76*(1+Предпосылки!$C$52),S76)</f>
        <v>180</v>
      </c>
      <c r="U76" s="22">
        <f>IF(MONTH(U$1)=1,T76*(1+Предпосылки!$C$52),T76)</f>
        <v>180</v>
      </c>
      <c r="V76" s="22">
        <f>IF(MONTH(V$1)=1,U76*(1+Предпосылки!$C$52),U76)</f>
        <v>180</v>
      </c>
      <c r="W76" s="22">
        <f>IF(MONTH(W$1)=1,V76*(1+Предпосылки!$C$52),V76)</f>
        <v>180</v>
      </c>
      <c r="X76" s="22">
        <f>IF(MONTH(X$1)=1,W76*(1+Предпосылки!$C$52),W76)</f>
        <v>180</v>
      </c>
      <c r="Y76" s="22">
        <f>IF(MONTH(Y$1)=1,X76*(1+Предпосылки!$C$52),X76)</f>
        <v>180</v>
      </c>
      <c r="Z76" s="22">
        <f>IF(MONTH(Z$1)=1,Y76*(1+Предпосылки!$C$52),Y76)</f>
        <v>180</v>
      </c>
      <c r="AA76" s="22">
        <f>IF(MONTH(AA$1)=1,Z76*(1+Предпосылки!$C$52),Z76)</f>
        <v>180</v>
      </c>
      <c r="AB76" s="22">
        <f>IF(MONTH(AB$1)=1,AA76*(1+Предпосылки!$C$52),AA76)</f>
        <v>189</v>
      </c>
      <c r="AC76" s="22">
        <f>IF(MONTH(AC$1)=1,AB76*(1+Предпосылки!$C$52),AB76)</f>
        <v>189</v>
      </c>
      <c r="AD76" s="22">
        <f>IF(MONTH(AD$1)=1,AC76*(1+Предпосылки!$C$52),AC76)</f>
        <v>189</v>
      </c>
      <c r="AE76" s="22">
        <f>IF(MONTH(AE$1)=1,AD76*(1+Предпосылки!$C$52),AD76)</f>
        <v>189</v>
      </c>
      <c r="AF76" s="22">
        <f>IF(MONTH(AF$1)=1,AE76*(1+Предпосылки!$C$52),AE76)</f>
        <v>189</v>
      </c>
      <c r="AG76" s="22">
        <f>IF(MONTH(AG$1)=1,AF76*(1+Предпосылки!$C$52),AF76)</f>
        <v>189</v>
      </c>
      <c r="AH76" s="22">
        <f>IF(MONTH(AH$1)=1,AG76*(1+Предпосылки!$C$52),AG76)</f>
        <v>189</v>
      </c>
      <c r="AI76" s="22">
        <f>IF(MONTH(AI$1)=1,AH76*(1+Предпосылки!$C$52),AH76)</f>
        <v>189</v>
      </c>
      <c r="AJ76" s="22">
        <f>IF(MONTH(AJ$1)=1,AI76*(1+Предпосылки!$C$52),AI76)</f>
        <v>189</v>
      </c>
      <c r="AK76" s="22">
        <f>IF(MONTH(AK$1)=1,AJ76*(1+Предпосылки!$C$52),AJ76)</f>
        <v>189</v>
      </c>
      <c r="AL76" s="22">
        <f>IF(MONTH(AL$1)=1,AK76*(1+Предпосылки!$C$52),AK76)</f>
        <v>189</v>
      </c>
      <c r="AM76" s="22">
        <f>IF(MONTH(AM$1)=1,AL76*(1+Предпосылки!$C$52),AL76)</f>
        <v>189</v>
      </c>
      <c r="AN76" s="22">
        <f>IF(MONTH(AN$1)=1,AM76*(1+Предпосылки!$C$52),AM76)</f>
        <v>198.45000000000002</v>
      </c>
      <c r="AO76" s="22">
        <f>IF(MONTH(AO$1)=1,AN76*(1+Предпосылки!$C$52),AN76)</f>
        <v>198.45000000000002</v>
      </c>
      <c r="AP76" s="22">
        <f>IF(MONTH(AP$1)=1,AO76*(1+Предпосылки!$C$52),AO76)</f>
        <v>198.45000000000002</v>
      </c>
      <c r="AQ76" s="22">
        <f>IF(MONTH(AQ$1)=1,AP76*(1+Предпосылки!$C$52),AP76)</f>
        <v>198.45000000000002</v>
      </c>
      <c r="AR76" s="22">
        <f>IF(MONTH(AR$1)=1,AQ76*(1+Предпосылки!$C$52),AQ76)</f>
        <v>198.45000000000002</v>
      </c>
      <c r="AS76" s="22">
        <f>IF(MONTH(AS$1)=1,AR76*(1+Предпосылки!$C$52),AR76)</f>
        <v>198.45000000000002</v>
      </c>
      <c r="AT76" s="22">
        <f>IF(MONTH(AT$1)=1,AS76*(1+Предпосылки!$C$52),AS76)</f>
        <v>198.45000000000002</v>
      </c>
      <c r="AU76" s="22">
        <f>IF(MONTH(AU$1)=1,AT76*(1+Предпосылки!$C$52),AT76)</f>
        <v>198.45000000000002</v>
      </c>
      <c r="AV76" s="22">
        <f>IF(MONTH(AV$1)=1,AU76*(1+Предпосылки!$C$52),AU76)</f>
        <v>198.45000000000002</v>
      </c>
      <c r="AW76" s="22">
        <f>IF(MONTH(AW$1)=1,AV76*(1+Предпосылки!$C$52),AV76)</f>
        <v>198.45000000000002</v>
      </c>
      <c r="AX76" s="22">
        <f>IF(MONTH(AX$1)=1,AW76*(1+Предпосылки!$C$52),AW76)</f>
        <v>198.45000000000002</v>
      </c>
      <c r="AY76" s="22">
        <f>IF(MONTH(AY$1)=1,AX76*(1+Предпосылки!$C$52),AX76)</f>
        <v>198.45000000000002</v>
      </c>
    </row>
    <row r="77" spans="2:51" x14ac:dyDescent="0.35">
      <c r="B77" t="s">
        <v>63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>
        <f>Предпосылки!$C$74</f>
        <v>70</v>
      </c>
      <c r="Q77" s="22">
        <f>IF(MONTH(Q$1)=1,P77*(1+Предпосылки!$C$52),P77)</f>
        <v>70</v>
      </c>
      <c r="R77" s="22">
        <f>IF(MONTH(R$1)=1,Q77*(1+Предпосылки!$C$52),Q77)</f>
        <v>70</v>
      </c>
      <c r="S77" s="22">
        <f>IF(MONTH(S$1)=1,R77*(1+Предпосылки!$C$52),R77)</f>
        <v>70</v>
      </c>
      <c r="T77" s="22">
        <f>IF(MONTH(T$1)=1,S77*(1+Предпосылки!$C$52),S77)</f>
        <v>70</v>
      </c>
      <c r="U77" s="22">
        <f>IF(MONTH(U$1)=1,T77*(1+Предпосылки!$C$52),T77)</f>
        <v>70</v>
      </c>
      <c r="V77" s="22">
        <f>IF(MONTH(V$1)=1,U77*(1+Предпосылки!$C$52),U77)</f>
        <v>70</v>
      </c>
      <c r="W77" s="22">
        <f>IF(MONTH(W$1)=1,V77*(1+Предпосылки!$C$52),V77)</f>
        <v>70</v>
      </c>
      <c r="X77" s="22">
        <f>IF(MONTH(X$1)=1,W77*(1+Предпосылки!$C$52),W77)</f>
        <v>70</v>
      </c>
      <c r="Y77" s="22">
        <f>IF(MONTH(Y$1)=1,X77*(1+Предпосылки!$C$52),X77)</f>
        <v>70</v>
      </c>
      <c r="Z77" s="22">
        <f>IF(MONTH(Z$1)=1,Y77*(1+Предпосылки!$C$52),Y77)</f>
        <v>70</v>
      </c>
      <c r="AA77" s="22">
        <f>IF(MONTH(AA$1)=1,Z77*(1+Предпосылки!$C$52),Z77)</f>
        <v>70</v>
      </c>
      <c r="AB77" s="22">
        <f>IF(MONTH(AB$1)=1,AA77*(1+Предпосылки!$C$52),AA77)</f>
        <v>73.5</v>
      </c>
      <c r="AC77" s="22">
        <f>IF(MONTH(AC$1)=1,AB77*(1+Предпосылки!$C$52),AB77)</f>
        <v>73.5</v>
      </c>
      <c r="AD77" s="22">
        <f>IF(MONTH(AD$1)=1,AC77*(1+Предпосылки!$C$52),AC77)</f>
        <v>73.5</v>
      </c>
      <c r="AE77" s="22">
        <f>IF(MONTH(AE$1)=1,AD77*(1+Предпосылки!$C$52),AD77)</f>
        <v>73.5</v>
      </c>
      <c r="AF77" s="22">
        <f>IF(MONTH(AF$1)=1,AE77*(1+Предпосылки!$C$52),AE77)</f>
        <v>73.5</v>
      </c>
      <c r="AG77" s="22">
        <f>IF(MONTH(AG$1)=1,AF77*(1+Предпосылки!$C$52),AF77)</f>
        <v>73.5</v>
      </c>
      <c r="AH77" s="22">
        <f>IF(MONTH(AH$1)=1,AG77*(1+Предпосылки!$C$52),AG77)</f>
        <v>73.5</v>
      </c>
      <c r="AI77" s="22">
        <f>IF(MONTH(AI$1)=1,AH77*(1+Предпосылки!$C$52),AH77)</f>
        <v>73.5</v>
      </c>
      <c r="AJ77" s="22">
        <f>IF(MONTH(AJ$1)=1,AI77*(1+Предпосылки!$C$52),AI77)</f>
        <v>73.5</v>
      </c>
      <c r="AK77" s="22">
        <f>IF(MONTH(AK$1)=1,AJ77*(1+Предпосылки!$C$52),AJ77)</f>
        <v>73.5</v>
      </c>
      <c r="AL77" s="22">
        <f>IF(MONTH(AL$1)=1,AK77*(1+Предпосылки!$C$52),AK77)</f>
        <v>73.5</v>
      </c>
      <c r="AM77" s="22">
        <f>IF(MONTH(AM$1)=1,AL77*(1+Предпосылки!$C$52),AL77)</f>
        <v>73.5</v>
      </c>
      <c r="AN77" s="22">
        <f>IF(MONTH(AN$1)=1,AM77*(1+Предпосылки!$C$52),AM77)</f>
        <v>77.174999999999997</v>
      </c>
      <c r="AO77" s="22">
        <f>IF(MONTH(AO$1)=1,AN77*(1+Предпосылки!$C$52),AN77)</f>
        <v>77.174999999999997</v>
      </c>
      <c r="AP77" s="22">
        <f>IF(MONTH(AP$1)=1,AO77*(1+Предпосылки!$C$52),AO77)</f>
        <v>77.174999999999997</v>
      </c>
      <c r="AQ77" s="22">
        <f>IF(MONTH(AQ$1)=1,AP77*(1+Предпосылки!$C$52),AP77)</f>
        <v>77.174999999999997</v>
      </c>
      <c r="AR77" s="22">
        <f>IF(MONTH(AR$1)=1,AQ77*(1+Предпосылки!$C$52),AQ77)</f>
        <v>77.174999999999997</v>
      </c>
      <c r="AS77" s="22">
        <f>IF(MONTH(AS$1)=1,AR77*(1+Предпосылки!$C$52),AR77)</f>
        <v>77.174999999999997</v>
      </c>
      <c r="AT77" s="22">
        <f>IF(MONTH(AT$1)=1,AS77*(1+Предпосылки!$C$52),AS77)</f>
        <v>77.174999999999997</v>
      </c>
      <c r="AU77" s="22">
        <f>IF(MONTH(AU$1)=1,AT77*(1+Предпосылки!$C$52),AT77)</f>
        <v>77.174999999999997</v>
      </c>
      <c r="AV77" s="22">
        <f>IF(MONTH(AV$1)=1,AU77*(1+Предпосылки!$C$52),AU77)</f>
        <v>77.174999999999997</v>
      </c>
      <c r="AW77" s="22">
        <f>IF(MONTH(AW$1)=1,AV77*(1+Предпосылки!$C$52),AV77)</f>
        <v>77.174999999999997</v>
      </c>
      <c r="AX77" s="22">
        <f>IF(MONTH(AX$1)=1,AW77*(1+Предпосылки!$C$52),AW77)</f>
        <v>77.174999999999997</v>
      </c>
      <c r="AY77" s="22">
        <f>IF(MONTH(AY$1)=1,AX77*(1+Предпосылки!$C$52),AX77)</f>
        <v>77.174999999999997</v>
      </c>
    </row>
    <row r="78" spans="2:51" x14ac:dyDescent="0.35">
      <c r="B78" t="s">
        <v>148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>
        <f>Предпосылки!$C$75*Предпосылки!$C$76</f>
        <v>60</v>
      </c>
      <c r="Q78" s="22">
        <f>IF(MONTH(Q$1)=1,P78*(1+Предпосылки!$C$52),P78)</f>
        <v>60</v>
      </c>
      <c r="R78" s="22">
        <f>IF(MONTH(R$1)=1,Q78*(1+Предпосылки!$C$52),Q78)</f>
        <v>60</v>
      </c>
      <c r="S78" s="22">
        <f>IF(MONTH(S$1)=1,R78*(1+Предпосылки!$C$52),R78)</f>
        <v>60</v>
      </c>
      <c r="T78" s="22">
        <f>IF(MONTH(T$1)=1,S78*(1+Предпосылки!$C$52),S78)</f>
        <v>60</v>
      </c>
      <c r="U78" s="22">
        <f>IF(MONTH(U$1)=1,T78*(1+Предпосылки!$C$52),T78)</f>
        <v>60</v>
      </c>
      <c r="V78" s="22">
        <f>IF(MONTH(V$1)=1,U78*(1+Предпосылки!$C$52),U78)</f>
        <v>60</v>
      </c>
      <c r="W78" s="22">
        <f>IF(MONTH(W$1)=1,V78*(1+Предпосылки!$C$52),V78)</f>
        <v>60</v>
      </c>
      <c r="X78" s="22">
        <f>IF(MONTH(X$1)=1,W78*(1+Предпосылки!$C$52),W78)</f>
        <v>60</v>
      </c>
      <c r="Y78" s="22">
        <f>IF(MONTH(Y$1)=1,X78*(1+Предпосылки!$C$52),X78)</f>
        <v>60</v>
      </c>
      <c r="Z78" s="22">
        <f>IF(MONTH(Z$1)=1,Y78*(1+Предпосылки!$C$52),Y78)</f>
        <v>60</v>
      </c>
      <c r="AA78" s="22">
        <f>IF(MONTH(AA$1)=1,Z78*(1+Предпосылки!$C$52),Z78)</f>
        <v>60</v>
      </c>
      <c r="AB78" s="22">
        <f>IF(MONTH(AB$1)=1,AA78*(1+Предпосылки!$C$52),AA78)</f>
        <v>63</v>
      </c>
      <c r="AC78" s="22">
        <f>IF(MONTH(AC$1)=1,AB78*(1+Предпосылки!$C$52),AB78)</f>
        <v>63</v>
      </c>
      <c r="AD78" s="22">
        <f>IF(MONTH(AD$1)=1,AC78*(1+Предпосылки!$C$52),AC78)</f>
        <v>63</v>
      </c>
      <c r="AE78" s="22">
        <f>IF(MONTH(AE$1)=1,AD78*(1+Предпосылки!$C$52),AD78)</f>
        <v>63</v>
      </c>
      <c r="AF78" s="22">
        <f>IF(MONTH(AF$1)=1,AE78*(1+Предпосылки!$C$52),AE78)</f>
        <v>63</v>
      </c>
      <c r="AG78" s="22">
        <f>IF(MONTH(AG$1)=1,AF78*(1+Предпосылки!$C$52),AF78)</f>
        <v>63</v>
      </c>
      <c r="AH78" s="22">
        <f>IF(MONTH(AH$1)=1,AG78*(1+Предпосылки!$C$52),AG78)</f>
        <v>63</v>
      </c>
      <c r="AI78" s="22">
        <f>IF(MONTH(AI$1)=1,AH78*(1+Предпосылки!$C$52),AH78)</f>
        <v>63</v>
      </c>
      <c r="AJ78" s="22">
        <f>IF(MONTH(AJ$1)=1,AI78*(1+Предпосылки!$C$52),AI78)</f>
        <v>63</v>
      </c>
      <c r="AK78" s="22">
        <f>IF(MONTH(AK$1)=1,AJ78*(1+Предпосылки!$C$52),AJ78)</f>
        <v>63</v>
      </c>
      <c r="AL78" s="22">
        <f>IF(MONTH(AL$1)=1,AK78*(1+Предпосылки!$C$52),AK78)</f>
        <v>63</v>
      </c>
      <c r="AM78" s="22">
        <f>IF(MONTH(AM$1)=1,AL78*(1+Предпосылки!$C$52),AL78)</f>
        <v>63</v>
      </c>
      <c r="AN78" s="22">
        <f>IF(MONTH(AN$1)=1,AM78*(1+Предпосылки!$C$52),AM78)</f>
        <v>66.150000000000006</v>
      </c>
      <c r="AO78" s="22">
        <f>IF(MONTH(AO$1)=1,AN78*(1+Предпосылки!$C$52),AN78)</f>
        <v>66.150000000000006</v>
      </c>
      <c r="AP78" s="22">
        <f>IF(MONTH(AP$1)=1,AO78*(1+Предпосылки!$C$52),AO78)</f>
        <v>66.150000000000006</v>
      </c>
      <c r="AQ78" s="22">
        <f>IF(MONTH(AQ$1)=1,AP78*(1+Предпосылки!$C$52),AP78)</f>
        <v>66.150000000000006</v>
      </c>
      <c r="AR78" s="22">
        <f>IF(MONTH(AR$1)=1,AQ78*(1+Предпосылки!$C$52),AQ78)</f>
        <v>66.150000000000006</v>
      </c>
      <c r="AS78" s="22">
        <f>IF(MONTH(AS$1)=1,AR78*(1+Предпосылки!$C$52),AR78)</f>
        <v>66.150000000000006</v>
      </c>
      <c r="AT78" s="22">
        <f>IF(MONTH(AT$1)=1,AS78*(1+Предпосылки!$C$52),AS78)</f>
        <v>66.150000000000006</v>
      </c>
      <c r="AU78" s="22">
        <f>IF(MONTH(AU$1)=1,AT78*(1+Предпосылки!$C$52),AT78)</f>
        <v>66.150000000000006</v>
      </c>
      <c r="AV78" s="22">
        <f>IF(MONTH(AV$1)=1,AU78*(1+Предпосылки!$C$52),AU78)</f>
        <v>66.150000000000006</v>
      </c>
      <c r="AW78" s="22">
        <f>IF(MONTH(AW$1)=1,AV78*(1+Предпосылки!$C$52),AV78)</f>
        <v>66.150000000000006</v>
      </c>
      <c r="AX78" s="22">
        <f>IF(MONTH(AX$1)=1,AW78*(1+Предпосылки!$C$52),AW78)</f>
        <v>66.150000000000006</v>
      </c>
      <c r="AY78" s="22">
        <f>IF(MONTH(AY$1)=1,AX78*(1+Предпосылки!$C$52),AX78)</f>
        <v>66.150000000000006</v>
      </c>
    </row>
    <row r="79" spans="2:51" x14ac:dyDescent="0.35">
      <c r="B79" t="s">
        <v>66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>
        <f>Предпосылки!$C$77</f>
        <v>40</v>
      </c>
      <c r="Q79" s="22">
        <f>IF(MONTH(Q$1)=1,P79*(1+Предпосылки!$C$52),P79)</f>
        <v>40</v>
      </c>
      <c r="R79" s="22">
        <f>IF(MONTH(R$1)=1,Q79*(1+Предпосылки!$C$52),Q79)</f>
        <v>40</v>
      </c>
      <c r="S79" s="22">
        <f>IF(MONTH(S$1)=1,R79*(1+Предпосылки!$C$52),R79)</f>
        <v>40</v>
      </c>
      <c r="T79" s="22">
        <f>IF(MONTH(T$1)=1,S79*(1+Предпосылки!$C$52),S79)</f>
        <v>40</v>
      </c>
      <c r="U79" s="22">
        <f>IF(MONTH(U$1)=1,T79*(1+Предпосылки!$C$52),T79)</f>
        <v>40</v>
      </c>
      <c r="V79" s="22">
        <f>IF(MONTH(V$1)=1,U79*(1+Предпосылки!$C$52),U79)</f>
        <v>40</v>
      </c>
      <c r="W79" s="22">
        <f>IF(MONTH(W$1)=1,V79*(1+Предпосылки!$C$52),V79)</f>
        <v>40</v>
      </c>
      <c r="X79" s="22">
        <f>IF(MONTH(X$1)=1,W79*(1+Предпосылки!$C$52),W79)</f>
        <v>40</v>
      </c>
      <c r="Y79" s="22">
        <f>IF(MONTH(Y$1)=1,X79*(1+Предпосылки!$C$52),X79)</f>
        <v>40</v>
      </c>
      <c r="Z79" s="22">
        <f>IF(MONTH(Z$1)=1,Y79*(1+Предпосылки!$C$52),Y79)</f>
        <v>40</v>
      </c>
      <c r="AA79" s="22">
        <f>IF(MONTH(AA$1)=1,Z79*(1+Предпосылки!$C$52),Z79)</f>
        <v>40</v>
      </c>
      <c r="AB79" s="22">
        <f>IF(MONTH(AB$1)=1,AA79*(1+Предпосылки!$C$52),AA79)</f>
        <v>42</v>
      </c>
      <c r="AC79" s="22">
        <f>IF(MONTH(AC$1)=1,AB79*(1+Предпосылки!$C$52),AB79)</f>
        <v>42</v>
      </c>
      <c r="AD79" s="22">
        <f>IF(MONTH(AD$1)=1,AC79*(1+Предпосылки!$C$52),AC79)</f>
        <v>42</v>
      </c>
      <c r="AE79" s="22">
        <f>IF(MONTH(AE$1)=1,AD79*(1+Предпосылки!$C$52),AD79)</f>
        <v>42</v>
      </c>
      <c r="AF79" s="22">
        <f>IF(MONTH(AF$1)=1,AE79*(1+Предпосылки!$C$52),AE79)</f>
        <v>42</v>
      </c>
      <c r="AG79" s="22">
        <f>IF(MONTH(AG$1)=1,AF79*(1+Предпосылки!$C$52),AF79)</f>
        <v>42</v>
      </c>
      <c r="AH79" s="22">
        <f>IF(MONTH(AH$1)=1,AG79*(1+Предпосылки!$C$52),AG79)</f>
        <v>42</v>
      </c>
      <c r="AI79" s="22">
        <f>IF(MONTH(AI$1)=1,AH79*(1+Предпосылки!$C$52),AH79)</f>
        <v>42</v>
      </c>
      <c r="AJ79" s="22">
        <f>IF(MONTH(AJ$1)=1,AI79*(1+Предпосылки!$C$52),AI79)</f>
        <v>42</v>
      </c>
      <c r="AK79" s="22">
        <f>IF(MONTH(AK$1)=1,AJ79*(1+Предпосылки!$C$52),AJ79)</f>
        <v>42</v>
      </c>
      <c r="AL79" s="22">
        <f>IF(MONTH(AL$1)=1,AK79*(1+Предпосылки!$C$52),AK79)</f>
        <v>42</v>
      </c>
      <c r="AM79" s="22">
        <f>IF(MONTH(AM$1)=1,AL79*(1+Предпосылки!$C$52),AL79)</f>
        <v>42</v>
      </c>
      <c r="AN79" s="22">
        <f>IF(MONTH(AN$1)=1,AM79*(1+Предпосылки!$C$52),AM79)</f>
        <v>44.1</v>
      </c>
      <c r="AO79" s="22">
        <f>IF(MONTH(AO$1)=1,AN79*(1+Предпосылки!$C$52),AN79)</f>
        <v>44.1</v>
      </c>
      <c r="AP79" s="22">
        <f>IF(MONTH(AP$1)=1,AO79*(1+Предпосылки!$C$52),AO79)</f>
        <v>44.1</v>
      </c>
      <c r="AQ79" s="22">
        <f>IF(MONTH(AQ$1)=1,AP79*(1+Предпосылки!$C$52),AP79)</f>
        <v>44.1</v>
      </c>
      <c r="AR79" s="22">
        <f>IF(MONTH(AR$1)=1,AQ79*(1+Предпосылки!$C$52),AQ79)</f>
        <v>44.1</v>
      </c>
      <c r="AS79" s="22">
        <f>IF(MONTH(AS$1)=1,AR79*(1+Предпосылки!$C$52),AR79)</f>
        <v>44.1</v>
      </c>
      <c r="AT79" s="22">
        <f>IF(MONTH(AT$1)=1,AS79*(1+Предпосылки!$C$52),AS79)</f>
        <v>44.1</v>
      </c>
      <c r="AU79" s="22">
        <f>IF(MONTH(AU$1)=1,AT79*(1+Предпосылки!$C$52),AT79)</f>
        <v>44.1</v>
      </c>
      <c r="AV79" s="22">
        <f>IF(MONTH(AV$1)=1,AU79*(1+Предпосылки!$C$52),AU79)</f>
        <v>44.1</v>
      </c>
      <c r="AW79" s="22">
        <f>IF(MONTH(AW$1)=1,AV79*(1+Предпосылки!$C$52),AV79)</f>
        <v>44.1</v>
      </c>
      <c r="AX79" s="22">
        <f>IF(MONTH(AX$1)=1,AW79*(1+Предпосылки!$C$52),AW79)</f>
        <v>44.1</v>
      </c>
      <c r="AY79" s="22">
        <f>IF(MONTH(AY$1)=1,AX79*(1+Предпосылки!$C$52),AX79)</f>
        <v>44.1</v>
      </c>
    </row>
    <row r="80" spans="2:51" x14ac:dyDescent="0.35">
      <c r="B80" t="s">
        <v>67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>
        <f>Предпосылки!$C$78</f>
        <v>15</v>
      </c>
      <c r="Q80" s="22">
        <f>IF(MONTH(Q$1)=1,P80*(1+Предпосылки!$C$52),P80)</f>
        <v>15</v>
      </c>
      <c r="R80" s="22">
        <f>IF(MONTH(R$1)=1,Q80*(1+Предпосылки!$C$52),Q80)</f>
        <v>15</v>
      </c>
      <c r="S80" s="22">
        <f>IF(MONTH(S$1)=1,R80*(1+Предпосылки!$C$52),R80)</f>
        <v>15</v>
      </c>
      <c r="T80" s="22">
        <f>IF(MONTH(T$1)=1,S80*(1+Предпосылки!$C$52),S80)</f>
        <v>15</v>
      </c>
      <c r="U80" s="22">
        <f>IF(MONTH(U$1)=1,T80*(1+Предпосылки!$C$52),T80)</f>
        <v>15</v>
      </c>
      <c r="V80" s="22">
        <f>IF(MONTH(V$1)=1,U80*(1+Предпосылки!$C$52),U80)</f>
        <v>15</v>
      </c>
      <c r="W80" s="22">
        <f>IF(MONTH(W$1)=1,V80*(1+Предпосылки!$C$52),V80)</f>
        <v>15</v>
      </c>
      <c r="X80" s="22">
        <f>IF(MONTH(X$1)=1,W80*(1+Предпосылки!$C$52),W80)</f>
        <v>15</v>
      </c>
      <c r="Y80" s="22">
        <f>IF(MONTH(Y$1)=1,X80*(1+Предпосылки!$C$52),X80)</f>
        <v>15</v>
      </c>
      <c r="Z80" s="22">
        <f>IF(MONTH(Z$1)=1,Y80*(1+Предпосылки!$C$52),Y80)</f>
        <v>15</v>
      </c>
      <c r="AA80" s="22">
        <f>IF(MONTH(AA$1)=1,Z80*(1+Предпосылки!$C$52),Z80)</f>
        <v>15</v>
      </c>
      <c r="AB80" s="22">
        <f>IF(MONTH(AB$1)=1,AA80*(1+Предпосылки!$C$52),AA80)</f>
        <v>15.75</v>
      </c>
      <c r="AC80" s="22">
        <f>IF(MONTH(AC$1)=1,AB80*(1+Предпосылки!$C$52),AB80)</f>
        <v>15.75</v>
      </c>
      <c r="AD80" s="22">
        <f>IF(MONTH(AD$1)=1,AC80*(1+Предпосылки!$C$52),AC80)</f>
        <v>15.75</v>
      </c>
      <c r="AE80" s="22">
        <f>IF(MONTH(AE$1)=1,AD80*(1+Предпосылки!$C$52),AD80)</f>
        <v>15.75</v>
      </c>
      <c r="AF80" s="22">
        <f>IF(MONTH(AF$1)=1,AE80*(1+Предпосылки!$C$52),AE80)</f>
        <v>15.75</v>
      </c>
      <c r="AG80" s="22">
        <f>IF(MONTH(AG$1)=1,AF80*(1+Предпосылки!$C$52),AF80)</f>
        <v>15.75</v>
      </c>
      <c r="AH80" s="22">
        <f>IF(MONTH(AH$1)=1,AG80*(1+Предпосылки!$C$52),AG80)</f>
        <v>15.75</v>
      </c>
      <c r="AI80" s="22">
        <f>IF(MONTH(AI$1)=1,AH80*(1+Предпосылки!$C$52),AH80)</f>
        <v>15.75</v>
      </c>
      <c r="AJ80" s="22">
        <f>IF(MONTH(AJ$1)=1,AI80*(1+Предпосылки!$C$52),AI80)</f>
        <v>15.75</v>
      </c>
      <c r="AK80" s="22">
        <f>IF(MONTH(AK$1)=1,AJ80*(1+Предпосылки!$C$52),AJ80)</f>
        <v>15.75</v>
      </c>
      <c r="AL80" s="22">
        <f>IF(MONTH(AL$1)=1,AK80*(1+Предпосылки!$C$52),AK80)</f>
        <v>15.75</v>
      </c>
      <c r="AM80" s="22">
        <f>IF(MONTH(AM$1)=1,AL80*(1+Предпосылки!$C$52),AL80)</f>
        <v>15.75</v>
      </c>
      <c r="AN80" s="22">
        <f>IF(MONTH(AN$1)=1,AM80*(1+Предпосылки!$C$52),AM80)</f>
        <v>16.537500000000001</v>
      </c>
      <c r="AO80" s="22">
        <f>IF(MONTH(AO$1)=1,AN80*(1+Предпосылки!$C$52),AN80)</f>
        <v>16.537500000000001</v>
      </c>
      <c r="AP80" s="22">
        <f>IF(MONTH(AP$1)=1,AO80*(1+Предпосылки!$C$52),AO80)</f>
        <v>16.537500000000001</v>
      </c>
      <c r="AQ80" s="22">
        <f>IF(MONTH(AQ$1)=1,AP80*(1+Предпосылки!$C$52),AP80)</f>
        <v>16.537500000000001</v>
      </c>
      <c r="AR80" s="22">
        <f>IF(MONTH(AR$1)=1,AQ80*(1+Предпосылки!$C$52),AQ80)</f>
        <v>16.537500000000001</v>
      </c>
      <c r="AS80" s="22">
        <f>IF(MONTH(AS$1)=1,AR80*(1+Предпосылки!$C$52),AR80)</f>
        <v>16.537500000000001</v>
      </c>
      <c r="AT80" s="22">
        <f>IF(MONTH(AT$1)=1,AS80*(1+Предпосылки!$C$52),AS80)</f>
        <v>16.537500000000001</v>
      </c>
      <c r="AU80" s="22">
        <f>IF(MONTH(AU$1)=1,AT80*(1+Предпосылки!$C$52),AT80)</f>
        <v>16.537500000000001</v>
      </c>
      <c r="AV80" s="22">
        <f>IF(MONTH(AV$1)=1,AU80*(1+Предпосылки!$C$52),AU80)</f>
        <v>16.537500000000001</v>
      </c>
      <c r="AW80" s="22">
        <f>IF(MONTH(AW$1)=1,AV80*(1+Предпосылки!$C$52),AV80)</f>
        <v>16.537500000000001</v>
      </c>
      <c r="AX80" s="22">
        <f>IF(MONTH(AX$1)=1,AW80*(1+Предпосылки!$C$52),AW80)</f>
        <v>16.537500000000001</v>
      </c>
      <c r="AY80" s="22">
        <f>IF(MONTH(AY$1)=1,AX80*(1+Предпосылки!$C$52),AX80)</f>
        <v>16.537500000000001</v>
      </c>
    </row>
    <row r="81" spans="2:51" x14ac:dyDescent="0.35">
      <c r="B81" t="s">
        <v>68</v>
      </c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>
        <f>Предпосылки!$C$79</f>
        <v>15</v>
      </c>
      <c r="Q81" s="22">
        <f>IF(MONTH(Q$1)=1,P81*(1+Предпосылки!$C$52),P81)</f>
        <v>15</v>
      </c>
      <c r="R81" s="22">
        <f>IF(MONTH(R$1)=1,Q81*(1+Предпосылки!$C$52),Q81)</f>
        <v>15</v>
      </c>
      <c r="S81" s="22">
        <f>IF(MONTH(S$1)=1,R81*(1+Предпосылки!$C$52),R81)</f>
        <v>15</v>
      </c>
      <c r="T81" s="22">
        <f>IF(MONTH(T$1)=1,S81*(1+Предпосылки!$C$52),S81)</f>
        <v>15</v>
      </c>
      <c r="U81" s="22">
        <f>IF(MONTH(U$1)=1,T81*(1+Предпосылки!$C$52),T81)</f>
        <v>15</v>
      </c>
      <c r="V81" s="22">
        <f>IF(MONTH(V$1)=1,U81*(1+Предпосылки!$C$52),U81)</f>
        <v>15</v>
      </c>
      <c r="W81" s="22">
        <f>IF(MONTH(W$1)=1,V81*(1+Предпосылки!$C$52),V81)</f>
        <v>15</v>
      </c>
      <c r="X81" s="22">
        <f>IF(MONTH(X$1)=1,W81*(1+Предпосылки!$C$52),W81)</f>
        <v>15</v>
      </c>
      <c r="Y81" s="22">
        <f>IF(MONTH(Y$1)=1,X81*(1+Предпосылки!$C$52),X81)</f>
        <v>15</v>
      </c>
      <c r="Z81" s="22">
        <f>IF(MONTH(Z$1)=1,Y81*(1+Предпосылки!$C$52),Y81)</f>
        <v>15</v>
      </c>
      <c r="AA81" s="22">
        <f>IF(MONTH(AA$1)=1,Z81*(1+Предпосылки!$C$52),Z81)</f>
        <v>15</v>
      </c>
      <c r="AB81" s="22">
        <f>IF(MONTH(AB$1)=1,AA81*(1+Предпосылки!$C$52),AA81)</f>
        <v>15.75</v>
      </c>
      <c r="AC81" s="22">
        <f>IF(MONTH(AC$1)=1,AB81*(1+Предпосылки!$C$52),AB81)</f>
        <v>15.75</v>
      </c>
      <c r="AD81" s="22">
        <f>IF(MONTH(AD$1)=1,AC81*(1+Предпосылки!$C$52),AC81)</f>
        <v>15.75</v>
      </c>
      <c r="AE81" s="22">
        <f>IF(MONTH(AE$1)=1,AD81*(1+Предпосылки!$C$52),AD81)</f>
        <v>15.75</v>
      </c>
      <c r="AF81" s="22">
        <f>IF(MONTH(AF$1)=1,AE81*(1+Предпосылки!$C$52),AE81)</f>
        <v>15.75</v>
      </c>
      <c r="AG81" s="22">
        <f>IF(MONTH(AG$1)=1,AF81*(1+Предпосылки!$C$52),AF81)</f>
        <v>15.75</v>
      </c>
      <c r="AH81" s="22">
        <f>IF(MONTH(AH$1)=1,AG81*(1+Предпосылки!$C$52),AG81)</f>
        <v>15.75</v>
      </c>
      <c r="AI81" s="22">
        <f>IF(MONTH(AI$1)=1,AH81*(1+Предпосылки!$C$52),AH81)</f>
        <v>15.75</v>
      </c>
      <c r="AJ81" s="22">
        <f>IF(MONTH(AJ$1)=1,AI81*(1+Предпосылки!$C$52),AI81)</f>
        <v>15.75</v>
      </c>
      <c r="AK81" s="22">
        <f>IF(MONTH(AK$1)=1,AJ81*(1+Предпосылки!$C$52),AJ81)</f>
        <v>15.75</v>
      </c>
      <c r="AL81" s="22">
        <f>IF(MONTH(AL$1)=1,AK81*(1+Предпосылки!$C$52),AK81)</f>
        <v>15.75</v>
      </c>
      <c r="AM81" s="22">
        <f>IF(MONTH(AM$1)=1,AL81*(1+Предпосылки!$C$52),AL81)</f>
        <v>15.75</v>
      </c>
      <c r="AN81" s="22">
        <f>IF(MONTH(AN$1)=1,AM81*(1+Предпосылки!$C$52),AM81)</f>
        <v>16.537500000000001</v>
      </c>
      <c r="AO81" s="22">
        <f>IF(MONTH(AO$1)=1,AN81*(1+Предпосылки!$C$52),AN81)</f>
        <v>16.537500000000001</v>
      </c>
      <c r="AP81" s="22">
        <f>IF(MONTH(AP$1)=1,AO81*(1+Предпосылки!$C$52),AO81)</f>
        <v>16.537500000000001</v>
      </c>
      <c r="AQ81" s="22">
        <f>IF(MONTH(AQ$1)=1,AP81*(1+Предпосылки!$C$52),AP81)</f>
        <v>16.537500000000001</v>
      </c>
      <c r="AR81" s="22">
        <f>IF(MONTH(AR$1)=1,AQ81*(1+Предпосылки!$C$52),AQ81)</f>
        <v>16.537500000000001</v>
      </c>
      <c r="AS81" s="22">
        <f>IF(MONTH(AS$1)=1,AR81*(1+Предпосылки!$C$52),AR81)</f>
        <v>16.537500000000001</v>
      </c>
      <c r="AT81" s="22">
        <f>IF(MONTH(AT$1)=1,AS81*(1+Предпосылки!$C$52),AS81)</f>
        <v>16.537500000000001</v>
      </c>
      <c r="AU81" s="22">
        <f>IF(MONTH(AU$1)=1,AT81*(1+Предпосылки!$C$52),AT81)</f>
        <v>16.537500000000001</v>
      </c>
      <c r="AV81" s="22">
        <f>IF(MONTH(AV$1)=1,AU81*(1+Предпосылки!$C$52),AU81)</f>
        <v>16.537500000000001</v>
      </c>
      <c r="AW81" s="22">
        <f>IF(MONTH(AW$1)=1,AV81*(1+Предпосылки!$C$52),AV81)</f>
        <v>16.537500000000001</v>
      </c>
      <c r="AX81" s="22">
        <f>IF(MONTH(AX$1)=1,AW81*(1+Предпосылки!$C$52),AW81)</f>
        <v>16.537500000000001</v>
      </c>
      <c r="AY81" s="22">
        <f>IF(MONTH(AY$1)=1,AX81*(1+Предпосылки!$C$52),AX81)</f>
        <v>16.537500000000001</v>
      </c>
    </row>
    <row r="82" spans="2:51" x14ac:dyDescent="0.35">
      <c r="B82" t="s">
        <v>149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>
        <f t="shared" ref="P82:AY82" si="31">SUM(P74:P81)</f>
        <v>630</v>
      </c>
      <c r="Q82" s="22">
        <f t="shared" si="31"/>
        <v>630</v>
      </c>
      <c r="R82" s="22">
        <f t="shared" si="31"/>
        <v>630</v>
      </c>
      <c r="S82" s="22">
        <f t="shared" si="31"/>
        <v>630</v>
      </c>
      <c r="T82" s="22">
        <f t="shared" si="31"/>
        <v>630</v>
      </c>
      <c r="U82" s="22">
        <f t="shared" si="31"/>
        <v>630</v>
      </c>
      <c r="V82" s="22">
        <f t="shared" si="31"/>
        <v>630</v>
      </c>
      <c r="W82" s="22">
        <f t="shared" si="31"/>
        <v>630</v>
      </c>
      <c r="X82" s="22">
        <f t="shared" si="31"/>
        <v>630</v>
      </c>
      <c r="Y82" s="22">
        <f t="shared" si="31"/>
        <v>630</v>
      </c>
      <c r="Z82" s="22">
        <f t="shared" si="31"/>
        <v>630</v>
      </c>
      <c r="AA82" s="22">
        <f t="shared" si="31"/>
        <v>630</v>
      </c>
      <c r="AB82" s="22">
        <f t="shared" si="31"/>
        <v>661.5</v>
      </c>
      <c r="AC82" s="22">
        <f t="shared" si="31"/>
        <v>661.5</v>
      </c>
      <c r="AD82" s="22">
        <f t="shared" si="31"/>
        <v>661.5</v>
      </c>
      <c r="AE82" s="22">
        <f t="shared" si="31"/>
        <v>661.5</v>
      </c>
      <c r="AF82" s="22">
        <f t="shared" si="31"/>
        <v>661.5</v>
      </c>
      <c r="AG82" s="22">
        <f t="shared" si="31"/>
        <v>661.5</v>
      </c>
      <c r="AH82" s="22">
        <f t="shared" si="31"/>
        <v>661.5</v>
      </c>
      <c r="AI82" s="22">
        <f t="shared" si="31"/>
        <v>661.5</v>
      </c>
      <c r="AJ82" s="22">
        <f t="shared" si="31"/>
        <v>661.5</v>
      </c>
      <c r="AK82" s="22">
        <f t="shared" si="31"/>
        <v>661.5</v>
      </c>
      <c r="AL82" s="22">
        <f t="shared" si="31"/>
        <v>661.5</v>
      </c>
      <c r="AM82" s="22">
        <f t="shared" si="31"/>
        <v>661.5</v>
      </c>
      <c r="AN82" s="22">
        <f t="shared" si="31"/>
        <v>694.57500000000005</v>
      </c>
      <c r="AO82" s="22">
        <f t="shared" si="31"/>
        <v>694.57500000000005</v>
      </c>
      <c r="AP82" s="22">
        <f t="shared" si="31"/>
        <v>694.57500000000005</v>
      </c>
      <c r="AQ82" s="22">
        <f t="shared" si="31"/>
        <v>694.57500000000005</v>
      </c>
      <c r="AR82" s="22">
        <f t="shared" si="31"/>
        <v>694.57500000000005</v>
      </c>
      <c r="AS82" s="22">
        <f t="shared" si="31"/>
        <v>694.57500000000005</v>
      </c>
      <c r="AT82" s="22">
        <f t="shared" si="31"/>
        <v>694.57500000000005</v>
      </c>
      <c r="AU82" s="22">
        <f t="shared" si="31"/>
        <v>694.57500000000005</v>
      </c>
      <c r="AV82" s="22">
        <f t="shared" si="31"/>
        <v>694.57500000000005</v>
      </c>
      <c r="AW82" s="22">
        <f t="shared" si="31"/>
        <v>694.57500000000005</v>
      </c>
      <c r="AX82" s="22">
        <f t="shared" si="31"/>
        <v>694.57500000000005</v>
      </c>
      <c r="AY82" s="22">
        <f t="shared" si="31"/>
        <v>694.57500000000005</v>
      </c>
    </row>
    <row r="83" spans="2:51" x14ac:dyDescent="0.35">
      <c r="B83" t="s">
        <v>150</v>
      </c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>
        <f>P82/(1-Предпосылки!$C$80)</f>
        <v>724.13793103448279</v>
      </c>
      <c r="Q83" s="22">
        <f>Q82/(1-Предпосылки!$C$80)</f>
        <v>724.13793103448279</v>
      </c>
      <c r="R83" s="22">
        <f>R82/(1-Предпосылки!$C$80)</f>
        <v>724.13793103448279</v>
      </c>
      <c r="S83" s="22">
        <f>S82/(1-Предпосылки!$C$80)</f>
        <v>724.13793103448279</v>
      </c>
      <c r="T83" s="22">
        <f>T82/(1-Предпосылки!$C$80)</f>
        <v>724.13793103448279</v>
      </c>
      <c r="U83" s="22">
        <f>U82/(1-Предпосылки!$C$80)</f>
        <v>724.13793103448279</v>
      </c>
      <c r="V83" s="22">
        <f>V82/(1-Предпосылки!$C$80)</f>
        <v>724.13793103448279</v>
      </c>
      <c r="W83" s="22">
        <f>W82/(1-Предпосылки!$C$80)</f>
        <v>724.13793103448279</v>
      </c>
      <c r="X83" s="22">
        <f>X82/(1-Предпосылки!$C$80)</f>
        <v>724.13793103448279</v>
      </c>
      <c r="Y83" s="22">
        <f>Y82/(1-Предпосылки!$C$80)</f>
        <v>724.13793103448279</v>
      </c>
      <c r="Z83" s="22">
        <f>Z82/(1-Предпосылки!$C$80)</f>
        <v>724.13793103448279</v>
      </c>
      <c r="AA83" s="22">
        <f>AA82/(1-Предпосылки!$C$80)</f>
        <v>724.13793103448279</v>
      </c>
      <c r="AB83" s="22">
        <f>AB82/(1-Предпосылки!$C$80)</f>
        <v>760.34482758620686</v>
      </c>
      <c r="AC83" s="22">
        <f>AC82/(1-Предпосылки!$C$80)</f>
        <v>760.34482758620686</v>
      </c>
      <c r="AD83" s="22">
        <f>AD82/(1-Предпосылки!$C$80)</f>
        <v>760.34482758620686</v>
      </c>
      <c r="AE83" s="22">
        <f>AE82/(1-Предпосылки!$C$80)</f>
        <v>760.34482758620686</v>
      </c>
      <c r="AF83" s="22">
        <f>AF82/(1-Предпосылки!$C$80)</f>
        <v>760.34482758620686</v>
      </c>
      <c r="AG83" s="22">
        <f>AG82/(1-Предпосылки!$C$80)</f>
        <v>760.34482758620686</v>
      </c>
      <c r="AH83" s="22">
        <f>AH82/(1-Предпосылки!$C$80)</f>
        <v>760.34482758620686</v>
      </c>
      <c r="AI83" s="22">
        <f>AI82/(1-Предпосылки!$C$80)</f>
        <v>760.34482758620686</v>
      </c>
      <c r="AJ83" s="22">
        <f>AJ82/(1-Предпосылки!$C$80)</f>
        <v>760.34482758620686</v>
      </c>
      <c r="AK83" s="22">
        <f>AK82/(1-Предпосылки!$C$80)</f>
        <v>760.34482758620686</v>
      </c>
      <c r="AL83" s="22">
        <f>AL82/(1-Предпосылки!$C$80)</f>
        <v>760.34482758620686</v>
      </c>
      <c r="AM83" s="22">
        <f>AM82/(1-Предпосылки!$C$80)</f>
        <v>760.34482758620686</v>
      </c>
      <c r="AN83" s="22">
        <f>AN82/(1-Предпосылки!$C$80)</f>
        <v>798.36206896551732</v>
      </c>
      <c r="AO83" s="22">
        <f>AO82/(1-Предпосылки!$C$80)</f>
        <v>798.36206896551732</v>
      </c>
      <c r="AP83" s="22">
        <f>AP82/(1-Предпосылки!$C$80)</f>
        <v>798.36206896551732</v>
      </c>
      <c r="AQ83" s="22">
        <f>AQ82/(1-Предпосылки!$C$80)</f>
        <v>798.36206896551732</v>
      </c>
      <c r="AR83" s="22">
        <f>AR82/(1-Предпосылки!$C$80)</f>
        <v>798.36206896551732</v>
      </c>
      <c r="AS83" s="22">
        <f>AS82/(1-Предпосылки!$C$80)</f>
        <v>798.36206896551732</v>
      </c>
      <c r="AT83" s="22">
        <f>AT82/(1-Предпосылки!$C$80)</f>
        <v>798.36206896551732</v>
      </c>
      <c r="AU83" s="22">
        <f>AU82/(1-Предпосылки!$C$80)</f>
        <v>798.36206896551732</v>
      </c>
      <c r="AV83" s="22">
        <f>AV82/(1-Предпосылки!$C$80)</f>
        <v>798.36206896551732</v>
      </c>
      <c r="AW83" s="22">
        <f>AW82/(1-Предпосылки!$C$80)</f>
        <v>798.36206896551732</v>
      </c>
      <c r="AX83" s="22">
        <f>AX82/(1-Предпосылки!$C$80)</f>
        <v>798.36206896551732</v>
      </c>
      <c r="AY83" s="22">
        <f>AY82/(1-Предпосылки!$C$80)</f>
        <v>798.36206896551732</v>
      </c>
    </row>
    <row r="84" spans="2:51" x14ac:dyDescent="0.35">
      <c r="B84" t="s">
        <v>151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>
        <f t="shared" ref="P84:AY84" si="32">P83-P82</f>
        <v>94.13793103448279</v>
      </c>
      <c r="Q84" s="22">
        <f t="shared" si="32"/>
        <v>94.13793103448279</v>
      </c>
      <c r="R84" s="22">
        <f t="shared" si="32"/>
        <v>94.13793103448279</v>
      </c>
      <c r="S84" s="22">
        <f t="shared" si="32"/>
        <v>94.13793103448279</v>
      </c>
      <c r="T84" s="22">
        <f t="shared" si="32"/>
        <v>94.13793103448279</v>
      </c>
      <c r="U84" s="22">
        <f t="shared" si="32"/>
        <v>94.13793103448279</v>
      </c>
      <c r="V84" s="22">
        <f t="shared" si="32"/>
        <v>94.13793103448279</v>
      </c>
      <c r="W84" s="22">
        <f t="shared" si="32"/>
        <v>94.13793103448279</v>
      </c>
      <c r="X84" s="22">
        <f t="shared" si="32"/>
        <v>94.13793103448279</v>
      </c>
      <c r="Y84" s="22">
        <f t="shared" si="32"/>
        <v>94.13793103448279</v>
      </c>
      <c r="Z84" s="22">
        <f t="shared" si="32"/>
        <v>94.13793103448279</v>
      </c>
      <c r="AA84" s="22">
        <f t="shared" si="32"/>
        <v>94.13793103448279</v>
      </c>
      <c r="AB84" s="22">
        <f t="shared" si="32"/>
        <v>98.844827586206861</v>
      </c>
      <c r="AC84" s="22">
        <f t="shared" si="32"/>
        <v>98.844827586206861</v>
      </c>
      <c r="AD84" s="22">
        <f t="shared" si="32"/>
        <v>98.844827586206861</v>
      </c>
      <c r="AE84" s="22">
        <f t="shared" si="32"/>
        <v>98.844827586206861</v>
      </c>
      <c r="AF84" s="22">
        <f t="shared" si="32"/>
        <v>98.844827586206861</v>
      </c>
      <c r="AG84" s="22">
        <f t="shared" si="32"/>
        <v>98.844827586206861</v>
      </c>
      <c r="AH84" s="22">
        <f t="shared" si="32"/>
        <v>98.844827586206861</v>
      </c>
      <c r="AI84" s="22">
        <f t="shared" si="32"/>
        <v>98.844827586206861</v>
      </c>
      <c r="AJ84" s="22">
        <f t="shared" si="32"/>
        <v>98.844827586206861</v>
      </c>
      <c r="AK84" s="22">
        <f t="shared" si="32"/>
        <v>98.844827586206861</v>
      </c>
      <c r="AL84" s="22">
        <f t="shared" si="32"/>
        <v>98.844827586206861</v>
      </c>
      <c r="AM84" s="22">
        <f t="shared" si="32"/>
        <v>98.844827586206861</v>
      </c>
      <c r="AN84" s="22">
        <f t="shared" si="32"/>
        <v>103.78706896551728</v>
      </c>
      <c r="AO84" s="22">
        <f t="shared" si="32"/>
        <v>103.78706896551728</v>
      </c>
      <c r="AP84" s="22">
        <f t="shared" si="32"/>
        <v>103.78706896551728</v>
      </c>
      <c r="AQ84" s="22">
        <f t="shared" si="32"/>
        <v>103.78706896551728</v>
      </c>
      <c r="AR84" s="22">
        <f t="shared" si="32"/>
        <v>103.78706896551728</v>
      </c>
      <c r="AS84" s="22">
        <f t="shared" si="32"/>
        <v>103.78706896551728</v>
      </c>
      <c r="AT84" s="22">
        <f t="shared" si="32"/>
        <v>103.78706896551728</v>
      </c>
      <c r="AU84" s="22">
        <f t="shared" si="32"/>
        <v>103.78706896551728</v>
      </c>
      <c r="AV84" s="22">
        <f t="shared" si="32"/>
        <v>103.78706896551728</v>
      </c>
      <c r="AW84" s="22">
        <f t="shared" si="32"/>
        <v>103.78706896551728</v>
      </c>
      <c r="AX84" s="22">
        <f t="shared" si="32"/>
        <v>103.78706896551728</v>
      </c>
      <c r="AY84" s="22">
        <f t="shared" si="32"/>
        <v>103.78706896551728</v>
      </c>
    </row>
    <row r="85" spans="2:51" x14ac:dyDescent="0.35">
      <c r="B85" t="s">
        <v>152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>
        <f>P83*Предпосылки!$C$81</f>
        <v>218.68965517241381</v>
      </c>
      <c r="Q85" s="22">
        <f>Q83*Предпосылки!$C$81</f>
        <v>218.68965517241381</v>
      </c>
      <c r="R85" s="22">
        <f>R83*Предпосылки!$C$81</f>
        <v>218.68965517241381</v>
      </c>
      <c r="S85" s="22">
        <f>S83*Предпосылки!$C$81</f>
        <v>218.68965517241381</v>
      </c>
      <c r="T85" s="22">
        <f>T83*Предпосылки!$C$81</f>
        <v>218.68965517241381</v>
      </c>
      <c r="U85" s="22">
        <f>U83*Предпосылки!$C$81</f>
        <v>218.68965517241381</v>
      </c>
      <c r="V85" s="22">
        <f>V83*Предпосылки!$C$81</f>
        <v>218.68965517241381</v>
      </c>
      <c r="W85" s="22">
        <f>W83*Предпосылки!$C$81</f>
        <v>218.68965517241381</v>
      </c>
      <c r="X85" s="22">
        <f>X83*Предпосылки!$C$81</f>
        <v>218.68965517241381</v>
      </c>
      <c r="Y85" s="22">
        <f>Y83*Предпосылки!$C$81</f>
        <v>218.68965517241381</v>
      </c>
      <c r="Z85" s="22">
        <f>Z83*Предпосылки!$C$81</f>
        <v>218.68965517241381</v>
      </c>
      <c r="AA85" s="22">
        <f>AA83*Предпосылки!$C$81</f>
        <v>218.68965517241381</v>
      </c>
      <c r="AB85" s="22">
        <f>AB83*Предпосылки!$C$81</f>
        <v>229.62413793103445</v>
      </c>
      <c r="AC85" s="22">
        <f>AC83*Предпосылки!$C$81</f>
        <v>229.62413793103445</v>
      </c>
      <c r="AD85" s="22">
        <f>AD83*Предпосылки!$C$81</f>
        <v>229.62413793103445</v>
      </c>
      <c r="AE85" s="22">
        <f>AE83*Предпосылки!$C$81</f>
        <v>229.62413793103445</v>
      </c>
      <c r="AF85" s="22">
        <f>AF83*Предпосылки!$C$81</f>
        <v>229.62413793103445</v>
      </c>
      <c r="AG85" s="22">
        <f>AG83*Предпосылки!$C$81</f>
        <v>229.62413793103445</v>
      </c>
      <c r="AH85" s="22">
        <f>AH83*Предпосылки!$C$81</f>
        <v>229.62413793103445</v>
      </c>
      <c r="AI85" s="22">
        <f>AI83*Предпосылки!$C$81</f>
        <v>229.62413793103445</v>
      </c>
      <c r="AJ85" s="22">
        <f>AJ83*Предпосылки!$C$81</f>
        <v>229.62413793103445</v>
      </c>
      <c r="AK85" s="22">
        <f>AK83*Предпосылки!$C$81</f>
        <v>229.62413793103445</v>
      </c>
      <c r="AL85" s="22">
        <f>AL83*Предпосылки!$C$81</f>
        <v>229.62413793103445</v>
      </c>
      <c r="AM85" s="22">
        <f>AM83*Предпосылки!$C$81</f>
        <v>229.62413793103445</v>
      </c>
      <c r="AN85" s="22">
        <f>AN83*Предпосылки!$C$81</f>
        <v>241.10534482758624</v>
      </c>
      <c r="AO85" s="22">
        <f>AO83*Предпосылки!$C$81</f>
        <v>241.10534482758624</v>
      </c>
      <c r="AP85" s="22">
        <f>AP83*Предпосылки!$C$81</f>
        <v>241.10534482758624</v>
      </c>
      <c r="AQ85" s="22">
        <f>AQ83*Предпосылки!$C$81</f>
        <v>241.10534482758624</v>
      </c>
      <c r="AR85" s="22">
        <f>AR83*Предпосылки!$C$81</f>
        <v>241.10534482758624</v>
      </c>
      <c r="AS85" s="22">
        <f>AS83*Предпосылки!$C$81</f>
        <v>241.10534482758624</v>
      </c>
      <c r="AT85" s="22">
        <f>AT83*Предпосылки!$C$81</f>
        <v>241.10534482758624</v>
      </c>
      <c r="AU85" s="22">
        <f>AU83*Предпосылки!$C$81</f>
        <v>241.10534482758624</v>
      </c>
      <c r="AV85" s="22">
        <f>AV83*Предпосылки!$C$81</f>
        <v>241.10534482758624</v>
      </c>
      <c r="AW85" s="22">
        <f>AW83*Предпосылки!$C$81</f>
        <v>241.10534482758624</v>
      </c>
      <c r="AX85" s="22">
        <f>AX83*Предпосылки!$C$81</f>
        <v>241.10534482758624</v>
      </c>
      <c r="AY85" s="22">
        <f>AY83*Предпосылки!$C$81</f>
        <v>241.10534482758624</v>
      </c>
    </row>
    <row r="86" spans="2:51" x14ac:dyDescent="0.35">
      <c r="B86" s="1" t="s">
        <v>153</v>
      </c>
      <c r="C86" s="1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>
        <f t="shared" ref="P86:AY86" si="33">P82+P84+P85</f>
        <v>942.82758620689663</v>
      </c>
      <c r="Q86" s="26">
        <f t="shared" si="33"/>
        <v>942.82758620689663</v>
      </c>
      <c r="R86" s="26">
        <f t="shared" si="33"/>
        <v>942.82758620689663</v>
      </c>
      <c r="S86" s="26">
        <f t="shared" si="33"/>
        <v>942.82758620689663</v>
      </c>
      <c r="T86" s="26">
        <f t="shared" si="33"/>
        <v>942.82758620689663</v>
      </c>
      <c r="U86" s="26">
        <f t="shared" si="33"/>
        <v>942.82758620689663</v>
      </c>
      <c r="V86" s="26">
        <f t="shared" si="33"/>
        <v>942.82758620689663</v>
      </c>
      <c r="W86" s="26">
        <f t="shared" si="33"/>
        <v>942.82758620689663</v>
      </c>
      <c r="X86" s="26">
        <f t="shared" si="33"/>
        <v>942.82758620689663</v>
      </c>
      <c r="Y86" s="26">
        <f t="shared" si="33"/>
        <v>942.82758620689663</v>
      </c>
      <c r="Z86" s="26">
        <f t="shared" si="33"/>
        <v>942.82758620689663</v>
      </c>
      <c r="AA86" s="26">
        <f t="shared" si="33"/>
        <v>942.82758620689663</v>
      </c>
      <c r="AB86" s="26">
        <f t="shared" si="33"/>
        <v>989.96896551724126</v>
      </c>
      <c r="AC86" s="26">
        <f t="shared" si="33"/>
        <v>989.96896551724126</v>
      </c>
      <c r="AD86" s="26">
        <f t="shared" si="33"/>
        <v>989.96896551724126</v>
      </c>
      <c r="AE86" s="26">
        <f t="shared" si="33"/>
        <v>989.96896551724126</v>
      </c>
      <c r="AF86" s="26">
        <f t="shared" si="33"/>
        <v>989.96896551724126</v>
      </c>
      <c r="AG86" s="26">
        <f t="shared" si="33"/>
        <v>989.96896551724126</v>
      </c>
      <c r="AH86" s="26">
        <f t="shared" si="33"/>
        <v>989.96896551724126</v>
      </c>
      <c r="AI86" s="26">
        <f t="shared" si="33"/>
        <v>989.96896551724126</v>
      </c>
      <c r="AJ86" s="26">
        <f t="shared" si="33"/>
        <v>989.96896551724126</v>
      </c>
      <c r="AK86" s="26">
        <f t="shared" si="33"/>
        <v>989.96896551724126</v>
      </c>
      <c r="AL86" s="26">
        <f t="shared" si="33"/>
        <v>989.96896551724126</v>
      </c>
      <c r="AM86" s="26">
        <f t="shared" si="33"/>
        <v>989.96896551724126</v>
      </c>
      <c r="AN86" s="26">
        <f t="shared" si="33"/>
        <v>1039.4674137931036</v>
      </c>
      <c r="AO86" s="26">
        <f t="shared" si="33"/>
        <v>1039.4674137931036</v>
      </c>
      <c r="AP86" s="26">
        <f t="shared" si="33"/>
        <v>1039.4674137931036</v>
      </c>
      <c r="AQ86" s="26">
        <f t="shared" si="33"/>
        <v>1039.4674137931036</v>
      </c>
      <c r="AR86" s="26">
        <f t="shared" si="33"/>
        <v>1039.4674137931036</v>
      </c>
      <c r="AS86" s="26">
        <f t="shared" si="33"/>
        <v>1039.4674137931036</v>
      </c>
      <c r="AT86" s="26">
        <f t="shared" si="33"/>
        <v>1039.4674137931036</v>
      </c>
      <c r="AU86" s="26">
        <f t="shared" si="33"/>
        <v>1039.4674137931036</v>
      </c>
      <c r="AV86" s="26">
        <f t="shared" si="33"/>
        <v>1039.4674137931036</v>
      </c>
      <c r="AW86" s="26">
        <f t="shared" si="33"/>
        <v>1039.4674137931036</v>
      </c>
      <c r="AX86" s="26">
        <f t="shared" si="33"/>
        <v>1039.4674137931036</v>
      </c>
      <c r="AY86" s="26">
        <f t="shared" si="33"/>
        <v>1039.4674137931036</v>
      </c>
    </row>
    <row r="88" spans="2:51" x14ac:dyDescent="0.35">
      <c r="B88" t="s">
        <v>154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>
        <f>1</f>
        <v>1</v>
      </c>
      <c r="Q88" s="24">
        <f t="shared" ref="Q88:AY88" si="34">P88+1</f>
        <v>2</v>
      </c>
      <c r="R88" s="24">
        <f t="shared" si="34"/>
        <v>3</v>
      </c>
      <c r="S88" s="24">
        <f t="shared" si="34"/>
        <v>4</v>
      </c>
      <c r="T88" s="24">
        <f t="shared" si="34"/>
        <v>5</v>
      </c>
      <c r="U88" s="24">
        <f t="shared" si="34"/>
        <v>6</v>
      </c>
      <c r="V88" s="24">
        <f t="shared" si="34"/>
        <v>7</v>
      </c>
      <c r="W88" s="24">
        <f t="shared" si="34"/>
        <v>8</v>
      </c>
      <c r="X88" s="24">
        <f t="shared" si="34"/>
        <v>9</v>
      </c>
      <c r="Y88" s="24">
        <f t="shared" si="34"/>
        <v>10</v>
      </c>
      <c r="Z88" s="24">
        <f t="shared" si="34"/>
        <v>11</v>
      </c>
      <c r="AA88" s="24">
        <f t="shared" si="34"/>
        <v>12</v>
      </c>
      <c r="AB88" s="24">
        <f t="shared" si="34"/>
        <v>13</v>
      </c>
      <c r="AC88" s="24">
        <f t="shared" si="34"/>
        <v>14</v>
      </c>
      <c r="AD88" s="24">
        <f t="shared" si="34"/>
        <v>15</v>
      </c>
      <c r="AE88" s="24">
        <f t="shared" si="34"/>
        <v>16</v>
      </c>
      <c r="AF88" s="24">
        <f t="shared" si="34"/>
        <v>17</v>
      </c>
      <c r="AG88" s="24">
        <f t="shared" si="34"/>
        <v>18</v>
      </c>
      <c r="AH88" s="24">
        <f t="shared" si="34"/>
        <v>19</v>
      </c>
      <c r="AI88" s="24">
        <f t="shared" si="34"/>
        <v>20</v>
      </c>
      <c r="AJ88" s="24">
        <f t="shared" si="34"/>
        <v>21</v>
      </c>
      <c r="AK88" s="24">
        <f t="shared" si="34"/>
        <v>22</v>
      </c>
      <c r="AL88" s="24">
        <f t="shared" si="34"/>
        <v>23</v>
      </c>
      <c r="AM88" s="24">
        <f t="shared" si="34"/>
        <v>24</v>
      </c>
      <c r="AN88" s="24">
        <f t="shared" si="34"/>
        <v>25</v>
      </c>
      <c r="AO88" s="24">
        <f t="shared" si="34"/>
        <v>26</v>
      </c>
      <c r="AP88" s="24">
        <f t="shared" si="34"/>
        <v>27</v>
      </c>
      <c r="AQ88" s="24">
        <f t="shared" si="34"/>
        <v>28</v>
      </c>
      <c r="AR88" s="24">
        <f t="shared" si="34"/>
        <v>29</v>
      </c>
      <c r="AS88" s="24">
        <f t="shared" si="34"/>
        <v>30</v>
      </c>
      <c r="AT88" s="24">
        <f t="shared" si="34"/>
        <v>31</v>
      </c>
      <c r="AU88" s="24">
        <f t="shared" si="34"/>
        <v>32</v>
      </c>
      <c r="AV88" s="24">
        <f t="shared" si="34"/>
        <v>33</v>
      </c>
      <c r="AW88" s="24">
        <f t="shared" si="34"/>
        <v>34</v>
      </c>
      <c r="AX88" s="24">
        <f t="shared" si="34"/>
        <v>35</v>
      </c>
      <c r="AY88" s="24">
        <f t="shared" si="34"/>
        <v>36</v>
      </c>
    </row>
    <row r="90" spans="2:51" x14ac:dyDescent="0.35">
      <c r="B90" s="20" t="s">
        <v>155</v>
      </c>
      <c r="C90" s="20" t="s">
        <v>14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</row>
    <row r="91" spans="2:51" x14ac:dyDescent="0.35">
      <c r="B91" t="s">
        <v>156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>
        <f>IF(P88&lt;=(Предпосылки!$C$56-Предпосылки!$C$58),Предпосылки!$C$55*Предпосылки!$C$57/Предпосылки!$C$56,0)</f>
        <v>8</v>
      </c>
      <c r="Q91" s="22">
        <f>IF(Q88&lt;=(Предпосылки!$C$56-Предпосылки!$C$58),Предпосылки!$C$55*Предпосылки!$C$57/Предпосылки!$C$56,0)</f>
        <v>8</v>
      </c>
      <c r="R91" s="22">
        <f>IF(R88&lt;=(Предпосылки!$C$56-Предпосылки!$C$58),Предпосылки!$C$55*Предпосылки!$C$57/Предпосылки!$C$56,0)</f>
        <v>8</v>
      </c>
      <c r="S91" s="22">
        <f>IF(S88&lt;=(Предпосылки!$C$56-Предпосылки!$C$58),Предпосылки!$C$55*Предпосылки!$C$57/Предпосылки!$C$56,0)</f>
        <v>8</v>
      </c>
      <c r="T91" s="22">
        <f>IF(T88&lt;=(Предпосылки!$C$56-Предпосылки!$C$58),Предпосылки!$C$55*Предпосылки!$C$57/Предпосылки!$C$56,0)</f>
        <v>8</v>
      </c>
      <c r="U91" s="22">
        <f>IF(U88&lt;=(Предпосылки!$C$56-Предпосылки!$C$58),Предпосылки!$C$55*Предпосылки!$C$57/Предпосылки!$C$56,0)</f>
        <v>8</v>
      </c>
      <c r="V91" s="22">
        <f>IF(V88&lt;=(Предпосылки!$C$56-Предпосылки!$C$58),Предпосылки!$C$55*Предпосылки!$C$57/Предпосылки!$C$56,0)</f>
        <v>8</v>
      </c>
      <c r="W91" s="22">
        <f>IF(W88&lt;=(Предпосылки!$C$56-Предпосылки!$C$58),Предпосылки!$C$55*Предпосылки!$C$57/Предпосылки!$C$56,0)</f>
        <v>8</v>
      </c>
      <c r="X91" s="22">
        <f>IF(X88&lt;=(Предпосылки!$C$56-Предпосылки!$C$58),Предпосылки!$C$55*Предпосылки!$C$57/Предпосылки!$C$56,0)</f>
        <v>8</v>
      </c>
      <c r="Y91" s="22">
        <f>IF(Y88&lt;=(Предпосылки!$C$56-Предпосылки!$C$58),Предпосылки!$C$55*Предпосылки!$C$57/Предпосылки!$C$56,0)</f>
        <v>8</v>
      </c>
      <c r="Z91" s="22">
        <f>IF(Z88&lt;=(Предпосылки!$C$56-Предпосылки!$C$58),Предпосылки!$C$55*Предпосылки!$C$57/Предпосылки!$C$56,0)</f>
        <v>8</v>
      </c>
      <c r="AA91" s="22">
        <f>IF(AA88&lt;=(Предпосылки!$C$56-Предпосылки!$C$58),Предпосылки!$C$55*Предпосылки!$C$57/Предпосылки!$C$56,0)</f>
        <v>8</v>
      </c>
      <c r="AB91" s="22">
        <f>IF(AB88&lt;=(Предпосылки!$C$56-Предпосылки!$C$58),Предпосылки!$C$55*Предпосылки!$C$57/Предпосылки!$C$56,0)</f>
        <v>0</v>
      </c>
      <c r="AC91" s="22">
        <f>IF(AC88&lt;=(Предпосылки!$C$56-Предпосылки!$C$58),Предпосылки!$C$55*Предпосылки!$C$57/Предпосылки!$C$56,0)</f>
        <v>0</v>
      </c>
      <c r="AD91" s="22">
        <f>IF(AD88&lt;=(Предпосылки!$C$56-Предпосылки!$C$58),Предпосылки!$C$55*Предпосылки!$C$57/Предпосылки!$C$56,0)</f>
        <v>0</v>
      </c>
      <c r="AE91" s="22">
        <f>IF(AE88&lt;=(Предпосылки!$C$56-Предпосылки!$C$58),Предпосылки!$C$55*Предпосылки!$C$57/Предпосылки!$C$56,0)</f>
        <v>0</v>
      </c>
      <c r="AF91" s="22">
        <f>IF(AF88&lt;=(Предпосылки!$C$56-Предпосылки!$C$58),Предпосылки!$C$55*Предпосылки!$C$57/Предпосылки!$C$56,0)</f>
        <v>0</v>
      </c>
      <c r="AG91" s="22">
        <f>IF(AG88&lt;=(Предпосылки!$C$56-Предпосылки!$C$58),Предпосылки!$C$55*Предпосылки!$C$57/Предпосылки!$C$56,0)</f>
        <v>0</v>
      </c>
      <c r="AH91" s="22">
        <f>IF(AH88&lt;=(Предпосылки!$C$56-Предпосылки!$C$58),Предпосылки!$C$55*Предпосылки!$C$57/Предпосылки!$C$56,0)</f>
        <v>0</v>
      </c>
      <c r="AI91" s="22">
        <f>IF(AI88&lt;=(Предпосылки!$C$56-Предпосылки!$C$58),Предпосылки!$C$55*Предпосылки!$C$57/Предпосылки!$C$56,0)</f>
        <v>0</v>
      </c>
      <c r="AJ91" s="22">
        <f>IF(AJ88&lt;=(Предпосылки!$C$56-Предпосылки!$C$58),Предпосылки!$C$55*Предпосылки!$C$57/Предпосылки!$C$56,0)</f>
        <v>0</v>
      </c>
      <c r="AK91" s="22">
        <f>IF(AK88&lt;=(Предпосылки!$C$56-Предпосылки!$C$58),Предпосылки!$C$55*Предпосылки!$C$57/Предпосылки!$C$56,0)</f>
        <v>0</v>
      </c>
      <c r="AL91" s="22">
        <f>IF(AL88&lt;=(Предпосылки!$C$56-Предпосылки!$C$58),Предпосылки!$C$55*Предпосылки!$C$57/Предпосылки!$C$56,0)</f>
        <v>0</v>
      </c>
      <c r="AM91" s="22">
        <f>IF(AM88&lt;=(Предпосылки!$C$56-Предпосылки!$C$58),Предпосылки!$C$55*Предпосылки!$C$57/Предпосылки!$C$56,0)</f>
        <v>0</v>
      </c>
      <c r="AN91" s="22">
        <f>IF(AN88&lt;=(Предпосылки!$C$56-Предпосылки!$C$58),Предпосылки!$C$55*Предпосылки!$C$57/Предпосылки!$C$56,0)</f>
        <v>0</v>
      </c>
      <c r="AO91" s="22">
        <f>IF(AO88&lt;=(Предпосылки!$C$56-Предпосылки!$C$58),Предпосылки!$C$55*Предпосылки!$C$57/Предпосылки!$C$56,0)</f>
        <v>0</v>
      </c>
      <c r="AP91" s="22">
        <f>IF(AP88&lt;=(Предпосылки!$C$56-Предпосылки!$C$58),Предпосылки!$C$55*Предпосылки!$C$57/Предпосылки!$C$56,0)</f>
        <v>0</v>
      </c>
      <c r="AQ91" s="22">
        <f>IF(AQ88&lt;=(Предпосылки!$C$56-Предпосылки!$C$58),Предпосылки!$C$55*Предпосылки!$C$57/Предпосылки!$C$56,0)</f>
        <v>0</v>
      </c>
      <c r="AR91" s="22">
        <f>IF(AR88&lt;=(Предпосылки!$C$56-Предпосылки!$C$58),Предпосылки!$C$55*Предпосылки!$C$57/Предпосылки!$C$56,0)</f>
        <v>0</v>
      </c>
      <c r="AS91" s="22">
        <f>IF(AS88&lt;=(Предпосылки!$C$56-Предпосылки!$C$58),Предпосылки!$C$55*Предпосылки!$C$57/Предпосылки!$C$56,0)</f>
        <v>0</v>
      </c>
      <c r="AT91" s="22">
        <f>IF(AT88&lt;=(Предпосылки!$C$56-Предпосылки!$C$58),Предпосылки!$C$55*Предпосылки!$C$57/Предпосылки!$C$56,0)</f>
        <v>0</v>
      </c>
      <c r="AU91" s="22">
        <f>IF(AU88&lt;=(Предпосылки!$C$56-Предпосылки!$C$58),Предпосылки!$C$55*Предпосылки!$C$57/Предпосылки!$C$56,0)</f>
        <v>0</v>
      </c>
      <c r="AV91" s="22">
        <f>IF(AV88&lt;=(Предпосылки!$C$56-Предпосылки!$C$58),Предпосылки!$C$55*Предпосылки!$C$57/Предпосылки!$C$56,0)</f>
        <v>0</v>
      </c>
      <c r="AW91" s="22">
        <f>IF(AW88&lt;=(Предпосылки!$C$56-Предпосылки!$C$58),Предпосылки!$C$55*Предпосылки!$C$57/Предпосылки!$C$56,0)</f>
        <v>0</v>
      </c>
      <c r="AX91" s="22">
        <f>IF(AX88&lt;=(Предпосылки!$C$56-Предпосылки!$C$58),Предпосылки!$C$55*Предпосылки!$C$57/Предпосылки!$C$56,0)</f>
        <v>0</v>
      </c>
      <c r="AY91" s="22">
        <f>IF(AY88&lt;=(Предпосылки!$C$56-Предпосылки!$C$58),Предпосылки!$C$55*Предпосылки!$C$57/Предпосылки!$C$56,0)</f>
        <v>0</v>
      </c>
    </row>
    <row r="92" spans="2:51" x14ac:dyDescent="0.35">
      <c r="B92" t="s">
        <v>157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>
        <f>IF(P88&lt;=(Предпосылки!$C$56-Предпосылки!$C$60),Предпосылки!$C$55*Предпосылки!$C$59/Предпосылки!$C$56,0)</f>
        <v>8</v>
      </c>
      <c r="Q92" s="22">
        <f>IF(Q88&lt;=(Предпосылки!$C$56-Предпосылки!$C$60),Предпосылки!$C$55*Предпосылки!$C$59/Предпосылки!$C$56,0)</f>
        <v>8</v>
      </c>
      <c r="R92" s="22">
        <f>IF(R88&lt;=(Предпосылки!$C$56-Предпосылки!$C$60),Предпосылки!$C$55*Предпосылки!$C$59/Предпосылки!$C$56,0)</f>
        <v>8</v>
      </c>
      <c r="S92" s="22">
        <f>IF(S88&lt;=(Предпосылки!$C$56-Предпосылки!$C$60),Предпосылки!$C$55*Предпосылки!$C$59/Предпосылки!$C$56,0)</f>
        <v>8</v>
      </c>
      <c r="T92" s="22">
        <f>IF(T88&lt;=(Предпосылки!$C$56-Предпосылки!$C$60),Предпосылки!$C$55*Предпосылки!$C$59/Предпосылки!$C$56,0)</f>
        <v>8</v>
      </c>
      <c r="U92" s="22">
        <f>IF(U88&lt;=(Предпосылки!$C$56-Предпосылки!$C$60),Предпосылки!$C$55*Предпосылки!$C$59/Предпосылки!$C$56,0)</f>
        <v>8</v>
      </c>
      <c r="V92" s="22">
        <f>IF(V88&lt;=(Предпосылки!$C$56-Предпосылки!$C$60),Предпосылки!$C$55*Предпосылки!$C$59/Предпосылки!$C$56,0)</f>
        <v>8</v>
      </c>
      <c r="W92" s="22">
        <f>IF(W88&lt;=(Предпосылки!$C$56-Предпосылки!$C$60),Предпосылки!$C$55*Предпосылки!$C$59/Предпосылки!$C$56,0)</f>
        <v>8</v>
      </c>
      <c r="X92" s="22">
        <f>IF(X88&lt;=(Предпосылки!$C$56-Предпосылки!$C$60),Предпосылки!$C$55*Предпосылки!$C$59/Предпосылки!$C$56,0)</f>
        <v>8</v>
      </c>
      <c r="Y92" s="22">
        <f>IF(Y88&lt;=(Предпосылки!$C$56-Предпосылки!$C$60),Предпосылки!$C$55*Предпосылки!$C$59/Предпосылки!$C$56,0)</f>
        <v>8</v>
      </c>
      <c r="Z92" s="22">
        <f>IF(Z88&lt;=(Предпосылки!$C$56-Предпосылки!$C$60),Предпосылки!$C$55*Предпосылки!$C$59/Предпосылки!$C$56,0)</f>
        <v>8</v>
      </c>
      <c r="AA92" s="22">
        <f>IF(AA88&lt;=(Предпосылки!$C$56-Предпосылки!$C$60),Предпосылки!$C$55*Предпосылки!$C$59/Предпосылки!$C$56,0)</f>
        <v>8</v>
      </c>
      <c r="AB92" s="22">
        <f>IF(AB88&lt;=(Предпосылки!$C$56-Предпосылки!$C$60),Предпосылки!$C$55*Предпосылки!$C$59/Предпосылки!$C$56,0)</f>
        <v>8</v>
      </c>
      <c r="AC92" s="22">
        <f>IF(AC88&lt;=(Предпосылки!$C$56-Предпосылки!$C$60),Предпосылки!$C$55*Предпосылки!$C$59/Предпосылки!$C$56,0)</f>
        <v>8</v>
      </c>
      <c r="AD92" s="22">
        <f>IF(AD88&lt;=(Предпосылки!$C$56-Предпосылки!$C$60),Предпосылки!$C$55*Предпосылки!$C$59/Предпосылки!$C$56,0)</f>
        <v>8</v>
      </c>
      <c r="AE92" s="22">
        <f>IF(AE88&lt;=(Предпосылки!$C$56-Предпосылки!$C$60),Предпосылки!$C$55*Предпосылки!$C$59/Предпосылки!$C$56,0)</f>
        <v>8</v>
      </c>
      <c r="AF92" s="22">
        <f>IF(AF88&lt;=(Предпосылки!$C$56-Предпосылки!$C$60),Предпосылки!$C$55*Предпосылки!$C$59/Предпосылки!$C$56,0)</f>
        <v>8</v>
      </c>
      <c r="AG92" s="22">
        <f>IF(AG88&lt;=(Предпосылки!$C$56-Предпосылки!$C$60),Предпосылки!$C$55*Предпосылки!$C$59/Предпосылки!$C$56,0)</f>
        <v>8</v>
      </c>
      <c r="AH92" s="22">
        <f>IF(AH88&lt;=(Предпосылки!$C$56-Предпосылки!$C$60),Предпосылки!$C$55*Предпосылки!$C$59/Предпосылки!$C$56,0)</f>
        <v>8</v>
      </c>
      <c r="AI92" s="22">
        <f>IF(AI88&lt;=(Предпосылки!$C$56-Предпосылки!$C$60),Предпосылки!$C$55*Предпосылки!$C$59/Предпосылки!$C$56,0)</f>
        <v>8</v>
      </c>
      <c r="AJ92" s="22">
        <f>IF(AJ88&lt;=(Предпосылки!$C$56-Предпосылки!$C$60),Предпосылки!$C$55*Предпосылки!$C$59/Предпосылки!$C$56,0)</f>
        <v>8</v>
      </c>
      <c r="AK92" s="22">
        <f>IF(AK88&lt;=(Предпосылки!$C$56-Предпосылки!$C$60),Предпосылки!$C$55*Предпосылки!$C$59/Предпосылки!$C$56,0)</f>
        <v>8</v>
      </c>
      <c r="AL92" s="22">
        <f>IF(AL88&lt;=(Предпосылки!$C$56-Предпосылки!$C$60),Предпосылки!$C$55*Предпосылки!$C$59/Предпосылки!$C$56,0)</f>
        <v>8</v>
      </c>
      <c r="AM92" s="22">
        <f>IF(AM88&lt;=(Предпосылки!$C$56-Предпосылки!$C$60),Предпосылки!$C$55*Предпосылки!$C$59/Предпосылки!$C$56,0)</f>
        <v>8</v>
      </c>
      <c r="AN92" s="22">
        <f>IF(AN88&lt;=(Предпосылки!$C$56-Предпосылки!$C$60),Предпосылки!$C$55*Предпосылки!$C$59/Предпосылки!$C$56,0)</f>
        <v>0</v>
      </c>
      <c r="AO92" s="22">
        <f>IF(AO88&lt;=(Предпосылки!$C$56-Предпосылки!$C$60),Предпосылки!$C$55*Предпосылки!$C$59/Предпосылки!$C$56,0)</f>
        <v>0</v>
      </c>
      <c r="AP92" s="22">
        <f>IF(AP88&lt;=(Предпосылки!$C$56-Предпосылки!$C$60),Предпосылки!$C$55*Предпосылки!$C$59/Предпосылки!$C$56,0)</f>
        <v>0</v>
      </c>
      <c r="AQ92" s="22">
        <f>IF(AQ88&lt;=(Предпосылки!$C$56-Предпосылки!$C$60),Предпосылки!$C$55*Предпосылки!$C$59/Предпосылки!$C$56,0)</f>
        <v>0</v>
      </c>
      <c r="AR92" s="22">
        <f>IF(AR88&lt;=(Предпосылки!$C$56-Предпосылки!$C$60),Предпосылки!$C$55*Предпосылки!$C$59/Предпосылки!$C$56,0)</f>
        <v>0</v>
      </c>
      <c r="AS92" s="22">
        <f>IF(AS88&lt;=(Предпосылки!$C$56-Предпосылки!$C$60),Предпосылки!$C$55*Предпосылки!$C$59/Предпосылки!$C$56,0)</f>
        <v>0</v>
      </c>
      <c r="AT92" s="22">
        <f>IF(AT88&lt;=(Предпосылки!$C$56-Предпосылки!$C$60),Предпосылки!$C$55*Предпосылки!$C$59/Предпосылки!$C$56,0)</f>
        <v>0</v>
      </c>
      <c r="AU92" s="22">
        <f>IF(AU88&lt;=(Предпосылки!$C$56-Предпосылки!$C$60),Предпосылки!$C$55*Предпосылки!$C$59/Предпосылки!$C$56,0)</f>
        <v>0</v>
      </c>
      <c r="AV92" s="22">
        <f>IF(AV88&lt;=(Предпосылки!$C$56-Предпосылки!$C$60),Предпосылки!$C$55*Предпосылки!$C$59/Предпосылки!$C$56,0)</f>
        <v>0</v>
      </c>
      <c r="AW92" s="22">
        <f>IF(AW88&lt;=(Предпосылки!$C$56-Предпосылки!$C$60),Предпосылки!$C$55*Предпосылки!$C$59/Предпосылки!$C$56,0)</f>
        <v>0</v>
      </c>
      <c r="AX92" s="22">
        <f>IF(AX88&lt;=(Предпосылки!$C$56-Предпосылки!$C$60),Предпосылки!$C$55*Предпосылки!$C$59/Предпосылки!$C$56,0)</f>
        <v>0</v>
      </c>
      <c r="AY92" s="22">
        <f>IF(AY88&lt;=(Предпосылки!$C$56-Предпосылки!$C$60),Предпосылки!$C$55*Предпосылки!$C$59/Предпосылки!$C$56,0)</f>
        <v>0</v>
      </c>
    </row>
    <row r="93" spans="2:51" x14ac:dyDescent="0.35">
      <c r="B93" t="s">
        <v>158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>
        <f>IF(P88&lt;=(Предпосылки!$C$56-Предпосылки!$C$62),Предпосылки!$C$55*Предпосылки!$C$61/Предпосылки!$C$56,0)</f>
        <v>4</v>
      </c>
      <c r="Q93" s="22">
        <f>IF(Q88&lt;=(Предпосылки!$C$56-Предпосылки!$C$62),Предпосылки!$C$55*Предпосылки!$C$61/Предпосылки!$C$56,0)</f>
        <v>4</v>
      </c>
      <c r="R93" s="22">
        <f>IF(R88&lt;=(Предпосылки!$C$56-Предпосылки!$C$62),Предпосылки!$C$55*Предпосылки!$C$61/Предпосылки!$C$56,0)</f>
        <v>4</v>
      </c>
      <c r="S93" s="22">
        <f>IF(S88&lt;=(Предпосылки!$C$56-Предпосылки!$C$62),Предпосылки!$C$55*Предпосылки!$C$61/Предпосылки!$C$56,0)</f>
        <v>4</v>
      </c>
      <c r="T93" s="22">
        <f>IF(T88&lt;=(Предпосылки!$C$56-Предпосылки!$C$62),Предпосылки!$C$55*Предпосылки!$C$61/Предпосылки!$C$56,0)</f>
        <v>4</v>
      </c>
      <c r="U93" s="22">
        <f>IF(U88&lt;=(Предпосылки!$C$56-Предпосылки!$C$62),Предпосылки!$C$55*Предпосылки!$C$61/Предпосылки!$C$56,0)</f>
        <v>4</v>
      </c>
      <c r="V93" s="22">
        <f>IF(V88&lt;=(Предпосылки!$C$56-Предпосылки!$C$62),Предпосылки!$C$55*Предпосылки!$C$61/Предпосылки!$C$56,0)</f>
        <v>4</v>
      </c>
      <c r="W93" s="22">
        <f>IF(W88&lt;=(Предпосылки!$C$56-Предпосылки!$C$62),Предпосылки!$C$55*Предпосылки!$C$61/Предпосылки!$C$56,0)</f>
        <v>4</v>
      </c>
      <c r="X93" s="22">
        <f>IF(X88&lt;=(Предпосылки!$C$56-Предпосылки!$C$62),Предпосылки!$C$55*Предпосылки!$C$61/Предпосылки!$C$56,0)</f>
        <v>4</v>
      </c>
      <c r="Y93" s="22">
        <f>IF(Y88&lt;=(Предпосылки!$C$56-Предпосылки!$C$62),Предпосылки!$C$55*Предпосылки!$C$61/Предпосылки!$C$56,0)</f>
        <v>4</v>
      </c>
      <c r="Z93" s="22">
        <f>IF(Z88&lt;=(Предпосылки!$C$56-Предпосылки!$C$62),Предпосылки!$C$55*Предпосылки!$C$61/Предпосылки!$C$56,0)</f>
        <v>4</v>
      </c>
      <c r="AA93" s="22">
        <f>IF(AA88&lt;=(Предпосылки!$C$56-Предпосылки!$C$62),Предпосылки!$C$55*Предпосылки!$C$61/Предпосылки!$C$56,0)</f>
        <v>4</v>
      </c>
      <c r="AB93" s="22">
        <f>IF(AB88&lt;=(Предпосылки!$C$56-Предпосылки!$C$62),Предпосылки!$C$55*Предпосылки!$C$61/Предпосылки!$C$56,0)</f>
        <v>4</v>
      </c>
      <c r="AC93" s="22">
        <f>IF(AC88&lt;=(Предпосылки!$C$56-Предпосылки!$C$62),Предпосылки!$C$55*Предпосылки!$C$61/Предпосылки!$C$56,0)</f>
        <v>4</v>
      </c>
      <c r="AD93" s="22">
        <f>IF(AD88&lt;=(Предпосылки!$C$56-Предпосылки!$C$62),Предпосылки!$C$55*Предпосылки!$C$61/Предпосылки!$C$56,0)</f>
        <v>4</v>
      </c>
      <c r="AE93" s="22">
        <f>IF(AE88&lt;=(Предпосылки!$C$56-Предпосылки!$C$62),Предпосылки!$C$55*Предпосылки!$C$61/Предпосылки!$C$56,0)</f>
        <v>4</v>
      </c>
      <c r="AF93" s="22">
        <f>IF(AF88&lt;=(Предпосылки!$C$56-Предпосылки!$C$62),Предпосылки!$C$55*Предпосылки!$C$61/Предпосылки!$C$56,0)</f>
        <v>4</v>
      </c>
      <c r="AG93" s="22">
        <f>IF(AG88&lt;=(Предпосылки!$C$56-Предпосылки!$C$62),Предпосылки!$C$55*Предпосылки!$C$61/Предпосылки!$C$56,0)</f>
        <v>4</v>
      </c>
      <c r="AH93" s="22">
        <f>IF(AH88&lt;=(Предпосылки!$C$56-Предпосылки!$C$62),Предпосылки!$C$55*Предпосылки!$C$61/Предпосылки!$C$56,0)</f>
        <v>4</v>
      </c>
      <c r="AI93" s="22">
        <f>IF(AI88&lt;=(Предпосылки!$C$56-Предпосылки!$C$62),Предпосылки!$C$55*Предпосылки!$C$61/Предпосылки!$C$56,0)</f>
        <v>4</v>
      </c>
      <c r="AJ93" s="22">
        <f>IF(AJ88&lt;=(Предпосылки!$C$56-Предпосылки!$C$62),Предпосылки!$C$55*Предпосылки!$C$61/Предпосылки!$C$56,0)</f>
        <v>4</v>
      </c>
      <c r="AK93" s="22">
        <f>IF(AK88&lt;=(Предпосылки!$C$56-Предпосылки!$C$62),Предпосылки!$C$55*Предпосылки!$C$61/Предпосылки!$C$56,0)</f>
        <v>4</v>
      </c>
      <c r="AL93" s="22">
        <f>IF(AL88&lt;=(Предпосылки!$C$56-Предпосылки!$C$62),Предпосылки!$C$55*Предпосылки!$C$61/Предпосылки!$C$56,0)</f>
        <v>4</v>
      </c>
      <c r="AM93" s="22">
        <f>IF(AM88&lt;=(Предпосылки!$C$56-Предпосылки!$C$62),Предпосылки!$C$55*Предпосылки!$C$61/Предпосылки!$C$56,0)</f>
        <v>4</v>
      </c>
      <c r="AN93" s="22">
        <f>IF(AN88&lt;=(Предпосылки!$C$56-Предпосылки!$C$62),Предпосылки!$C$55*Предпосылки!$C$61/Предпосылки!$C$56,0)</f>
        <v>4</v>
      </c>
      <c r="AO93" s="22">
        <f>IF(AO88&lt;=(Предпосылки!$C$56-Предпосылки!$C$62),Предпосылки!$C$55*Предпосылки!$C$61/Предпосылки!$C$56,0)</f>
        <v>4</v>
      </c>
      <c r="AP93" s="22">
        <f>IF(AP88&lt;=(Предпосылки!$C$56-Предпосылки!$C$62),Предпосылки!$C$55*Предпосылки!$C$61/Предпосылки!$C$56,0)</f>
        <v>4</v>
      </c>
      <c r="AQ93" s="22">
        <f>IF(AQ88&lt;=(Предпосылки!$C$56-Предпосылки!$C$62),Предпосылки!$C$55*Предпосылки!$C$61/Предпосылки!$C$56,0)</f>
        <v>4</v>
      </c>
      <c r="AR93" s="22">
        <f>IF(AR88&lt;=(Предпосылки!$C$56-Предпосылки!$C$62),Предпосылки!$C$55*Предпосылки!$C$61/Предпосылки!$C$56,0)</f>
        <v>4</v>
      </c>
      <c r="AS93" s="22">
        <f>IF(AS88&lt;=(Предпосылки!$C$56-Предпосылки!$C$62),Предпосылки!$C$55*Предпосылки!$C$61/Предпосылки!$C$56,0)</f>
        <v>4</v>
      </c>
      <c r="AT93" s="22">
        <f>IF(AT88&lt;=(Предпосылки!$C$56-Предпосылки!$C$62),Предпосылки!$C$55*Предпосылки!$C$61/Предпосылки!$C$56,0)</f>
        <v>4</v>
      </c>
      <c r="AU93" s="22">
        <f>IF(AU88&lt;=(Предпосылки!$C$56-Предпосылки!$C$62),Предпосылки!$C$55*Предпосылки!$C$61/Предпосылки!$C$56,0)</f>
        <v>4</v>
      </c>
      <c r="AV93" s="22">
        <f>IF(AV88&lt;=(Предпосылки!$C$56-Предпосылки!$C$62),Предпосылки!$C$55*Предпосылки!$C$61/Предпосылки!$C$56,0)</f>
        <v>4</v>
      </c>
      <c r="AW93" s="22">
        <f>IF(AW88&lt;=(Предпосылки!$C$56-Предпосылки!$C$62),Предпосылки!$C$55*Предпосылки!$C$61/Предпосылки!$C$56,0)</f>
        <v>4</v>
      </c>
      <c r="AX93" s="22">
        <f>IF(AX88&lt;=(Предпосылки!$C$56-Предпосылки!$C$62),Предпосылки!$C$55*Предпосылки!$C$61/Предпосылки!$C$56,0)</f>
        <v>4</v>
      </c>
      <c r="AY93" s="22">
        <f>IF(AY88&lt;=(Предпосылки!$C$56-Предпосылки!$C$62),Предпосылки!$C$55*Предпосылки!$C$61/Предпосылки!$C$56,0)</f>
        <v>4</v>
      </c>
    </row>
    <row r="94" spans="2:51" x14ac:dyDescent="0.35">
      <c r="B94" t="s">
        <v>159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>
        <f t="shared" ref="P94:AY94" si="35">SUM(P91:P93)</f>
        <v>20</v>
      </c>
      <c r="Q94" s="22">
        <f t="shared" si="35"/>
        <v>20</v>
      </c>
      <c r="R94" s="22">
        <f t="shared" si="35"/>
        <v>20</v>
      </c>
      <c r="S94" s="22">
        <f t="shared" si="35"/>
        <v>20</v>
      </c>
      <c r="T94" s="22">
        <f t="shared" si="35"/>
        <v>20</v>
      </c>
      <c r="U94" s="22">
        <f t="shared" si="35"/>
        <v>20</v>
      </c>
      <c r="V94" s="22">
        <f t="shared" si="35"/>
        <v>20</v>
      </c>
      <c r="W94" s="22">
        <f t="shared" si="35"/>
        <v>20</v>
      </c>
      <c r="X94" s="22">
        <f t="shared" si="35"/>
        <v>20</v>
      </c>
      <c r="Y94" s="22">
        <f t="shared" si="35"/>
        <v>20</v>
      </c>
      <c r="Z94" s="22">
        <f t="shared" si="35"/>
        <v>20</v>
      </c>
      <c r="AA94" s="22">
        <f t="shared" si="35"/>
        <v>20</v>
      </c>
      <c r="AB94" s="22">
        <f t="shared" si="35"/>
        <v>12</v>
      </c>
      <c r="AC94" s="22">
        <f t="shared" si="35"/>
        <v>12</v>
      </c>
      <c r="AD94" s="22">
        <f t="shared" si="35"/>
        <v>12</v>
      </c>
      <c r="AE94" s="22">
        <f t="shared" si="35"/>
        <v>12</v>
      </c>
      <c r="AF94" s="22">
        <f t="shared" si="35"/>
        <v>12</v>
      </c>
      <c r="AG94" s="22">
        <f t="shared" si="35"/>
        <v>12</v>
      </c>
      <c r="AH94" s="22">
        <f t="shared" si="35"/>
        <v>12</v>
      </c>
      <c r="AI94" s="22">
        <f t="shared" si="35"/>
        <v>12</v>
      </c>
      <c r="AJ94" s="22">
        <f t="shared" si="35"/>
        <v>12</v>
      </c>
      <c r="AK94" s="22">
        <f t="shared" si="35"/>
        <v>12</v>
      </c>
      <c r="AL94" s="22">
        <f t="shared" si="35"/>
        <v>12</v>
      </c>
      <c r="AM94" s="22">
        <f t="shared" si="35"/>
        <v>12</v>
      </c>
      <c r="AN94" s="22">
        <f t="shared" si="35"/>
        <v>4</v>
      </c>
      <c r="AO94" s="22">
        <f t="shared" si="35"/>
        <v>4</v>
      </c>
      <c r="AP94" s="22">
        <f t="shared" si="35"/>
        <v>4</v>
      </c>
      <c r="AQ94" s="22">
        <f t="shared" si="35"/>
        <v>4</v>
      </c>
      <c r="AR94" s="22">
        <f t="shared" si="35"/>
        <v>4</v>
      </c>
      <c r="AS94" s="22">
        <f t="shared" si="35"/>
        <v>4</v>
      </c>
      <c r="AT94" s="22">
        <f t="shared" si="35"/>
        <v>4</v>
      </c>
      <c r="AU94" s="22">
        <f t="shared" si="35"/>
        <v>4</v>
      </c>
      <c r="AV94" s="22">
        <f t="shared" si="35"/>
        <v>4</v>
      </c>
      <c r="AW94" s="22">
        <f t="shared" si="35"/>
        <v>4</v>
      </c>
      <c r="AX94" s="22">
        <f t="shared" si="35"/>
        <v>4</v>
      </c>
      <c r="AY94" s="22">
        <f t="shared" si="35"/>
        <v>4</v>
      </c>
    </row>
    <row r="95" spans="2:51" x14ac:dyDescent="0.35">
      <c r="B95" t="s">
        <v>160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>
        <f>Предпосылки!$C$55*(Предпосылки!$C$57*(1-Предпосылки!$C$58/Предпосылки!$C$56)+Предпосылки!$C$59*(1-Предпосылки!$C$60/Предпосылки!$C$56)+Предпосылки!$C$61*(1-Предпосылки!$C$62/Предпосылки!$C$56))</f>
        <v>480</v>
      </c>
      <c r="P95" s="22">
        <f t="shared" ref="P95:AY95" si="36">O95-P94</f>
        <v>460</v>
      </c>
      <c r="Q95" s="22">
        <f t="shared" si="36"/>
        <v>440</v>
      </c>
      <c r="R95" s="22">
        <f t="shared" si="36"/>
        <v>420</v>
      </c>
      <c r="S95" s="22">
        <f t="shared" si="36"/>
        <v>400</v>
      </c>
      <c r="T95" s="22">
        <f t="shared" si="36"/>
        <v>380</v>
      </c>
      <c r="U95" s="22">
        <f t="shared" si="36"/>
        <v>360</v>
      </c>
      <c r="V95" s="22">
        <f t="shared" si="36"/>
        <v>340</v>
      </c>
      <c r="W95" s="22">
        <f t="shared" si="36"/>
        <v>320</v>
      </c>
      <c r="X95" s="22">
        <f t="shared" si="36"/>
        <v>300</v>
      </c>
      <c r="Y95" s="22">
        <f t="shared" si="36"/>
        <v>280</v>
      </c>
      <c r="Z95" s="22">
        <f t="shared" si="36"/>
        <v>260</v>
      </c>
      <c r="AA95" s="22">
        <f t="shared" si="36"/>
        <v>240</v>
      </c>
      <c r="AB95" s="22">
        <f t="shared" si="36"/>
        <v>228</v>
      </c>
      <c r="AC95" s="22">
        <f t="shared" si="36"/>
        <v>216</v>
      </c>
      <c r="AD95" s="22">
        <f t="shared" si="36"/>
        <v>204</v>
      </c>
      <c r="AE95" s="22">
        <f t="shared" si="36"/>
        <v>192</v>
      </c>
      <c r="AF95" s="22">
        <f t="shared" si="36"/>
        <v>180</v>
      </c>
      <c r="AG95" s="22">
        <f t="shared" si="36"/>
        <v>168</v>
      </c>
      <c r="AH95" s="22">
        <f t="shared" si="36"/>
        <v>156</v>
      </c>
      <c r="AI95" s="22">
        <f t="shared" si="36"/>
        <v>144</v>
      </c>
      <c r="AJ95" s="22">
        <f t="shared" si="36"/>
        <v>132</v>
      </c>
      <c r="AK95" s="22">
        <f t="shared" si="36"/>
        <v>120</v>
      </c>
      <c r="AL95" s="22">
        <f t="shared" si="36"/>
        <v>108</v>
      </c>
      <c r="AM95" s="22">
        <f t="shared" si="36"/>
        <v>96</v>
      </c>
      <c r="AN95" s="22">
        <f t="shared" si="36"/>
        <v>92</v>
      </c>
      <c r="AO95" s="22">
        <f t="shared" si="36"/>
        <v>88</v>
      </c>
      <c r="AP95" s="22">
        <f t="shared" si="36"/>
        <v>84</v>
      </c>
      <c r="AQ95" s="22">
        <f t="shared" si="36"/>
        <v>80</v>
      </c>
      <c r="AR95" s="22">
        <f t="shared" si="36"/>
        <v>76</v>
      </c>
      <c r="AS95" s="22">
        <f t="shared" si="36"/>
        <v>72</v>
      </c>
      <c r="AT95" s="22">
        <f t="shared" si="36"/>
        <v>68</v>
      </c>
      <c r="AU95" s="22">
        <f t="shared" si="36"/>
        <v>64</v>
      </c>
      <c r="AV95" s="22">
        <f t="shared" si="36"/>
        <v>60</v>
      </c>
      <c r="AW95" s="22">
        <f t="shared" si="36"/>
        <v>56</v>
      </c>
      <c r="AX95" s="22">
        <f t="shared" si="36"/>
        <v>52</v>
      </c>
      <c r="AY95" s="22">
        <f t="shared" si="36"/>
        <v>48</v>
      </c>
    </row>
    <row r="96" spans="2:51" x14ac:dyDescent="0.35">
      <c r="B96" t="s">
        <v>161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>
        <f>IF(P88=1,Предпосылки!$C$92,0)</f>
        <v>0</v>
      </c>
      <c r="Q96" s="22">
        <f>IF(Q88=1,Предпосылки!$C$92,0)</f>
        <v>0</v>
      </c>
      <c r="R96" s="22">
        <f>IF(R88=1,Предпосылки!$C$92,0)</f>
        <v>0</v>
      </c>
      <c r="S96" s="22">
        <f>IF(S88=1,Предпосылки!$C$92,0)</f>
        <v>0</v>
      </c>
      <c r="T96" s="22">
        <f>IF(T88=1,Предпосылки!$C$92,0)</f>
        <v>0</v>
      </c>
      <c r="U96" s="22">
        <f>IF(U88=1,Предпосылки!$C$92,0)</f>
        <v>0</v>
      </c>
      <c r="V96" s="22">
        <f>IF(V88=1,Предпосылки!$C$92,0)</f>
        <v>0</v>
      </c>
      <c r="W96" s="22">
        <f>IF(W88=1,Предпосылки!$C$92,0)</f>
        <v>0</v>
      </c>
      <c r="X96" s="22">
        <f>IF(X88=1,Предпосылки!$C$92,0)</f>
        <v>0</v>
      </c>
      <c r="Y96" s="22">
        <f>IF(Y88=1,Предпосылки!$C$92,0)</f>
        <v>0</v>
      </c>
      <c r="Z96" s="22">
        <f>IF(Z88=1,Предпосылки!$C$92,0)</f>
        <v>0</v>
      </c>
      <c r="AA96" s="22">
        <f>IF(AA88=1,Предпосылки!$C$92,0)</f>
        <v>0</v>
      </c>
      <c r="AB96" s="22">
        <f>IF(AB88=1,Предпосылки!$C$92,0)</f>
        <v>0</v>
      </c>
      <c r="AC96" s="22">
        <f>IF(AC88=1,Предпосылки!$C$92,0)</f>
        <v>0</v>
      </c>
      <c r="AD96" s="22">
        <f>IF(AD88=1,Предпосылки!$C$92,0)</f>
        <v>0</v>
      </c>
      <c r="AE96" s="22">
        <f>IF(AE88=1,Предпосылки!$C$92,0)</f>
        <v>0</v>
      </c>
      <c r="AF96" s="22">
        <f>IF(AF88=1,Предпосылки!$C$92,0)</f>
        <v>0</v>
      </c>
      <c r="AG96" s="22">
        <f>IF(AG88=1,Предпосылки!$C$92,0)</f>
        <v>0</v>
      </c>
      <c r="AH96" s="22">
        <f>IF(AH88=1,Предпосылки!$C$92,0)</f>
        <v>0</v>
      </c>
      <c r="AI96" s="22">
        <f>IF(AI88=1,Предпосылки!$C$92,0)</f>
        <v>0</v>
      </c>
      <c r="AJ96" s="22">
        <f>IF(AJ88=1,Предпосылки!$C$92,0)</f>
        <v>0</v>
      </c>
      <c r="AK96" s="22">
        <f>IF(AK88=1,Предпосылки!$C$92,0)</f>
        <v>0</v>
      </c>
      <c r="AL96" s="22">
        <f>IF(AL88=1,Предпосылки!$C$92,0)</f>
        <v>0</v>
      </c>
      <c r="AM96" s="22">
        <f>IF(AM88=1,Предпосылки!$C$92,0)</f>
        <v>0</v>
      </c>
      <c r="AN96" s="22">
        <f>IF(AN88=1,Предпосылки!$C$92,0)</f>
        <v>0</v>
      </c>
      <c r="AO96" s="22">
        <f>IF(AO88=1,Предпосылки!$C$92,0)</f>
        <v>0</v>
      </c>
      <c r="AP96" s="22">
        <f>IF(AP88=1,Предпосылки!$C$92,0)</f>
        <v>0</v>
      </c>
      <c r="AQ96" s="22">
        <f>IF(AQ88=1,Предпосылки!$C$92,0)</f>
        <v>0</v>
      </c>
      <c r="AR96" s="22">
        <f>IF(AR88=1,Предпосылки!$C$92,0)</f>
        <v>0</v>
      </c>
      <c r="AS96" s="22">
        <f>IF(AS88=1,Предпосылки!$C$92,0)</f>
        <v>0</v>
      </c>
      <c r="AT96" s="22">
        <f>IF(AT88=1,Предпосылки!$C$92,0)</f>
        <v>0</v>
      </c>
      <c r="AU96" s="22">
        <f>IF(AU88=1,Предпосылки!$C$92,0)</f>
        <v>0</v>
      </c>
      <c r="AV96" s="22">
        <f>IF(AV88=1,Предпосылки!$C$92,0)</f>
        <v>0</v>
      </c>
      <c r="AW96" s="22">
        <f>IF(AW88=1,Предпосылки!$C$92,0)</f>
        <v>0</v>
      </c>
      <c r="AX96" s="22">
        <f>IF(AX88=1,Предпосылки!$C$92,0)</f>
        <v>0</v>
      </c>
      <c r="AY96" s="22">
        <f>IF(AY88=1,Предпосылки!$C$92,0)</f>
        <v>0</v>
      </c>
    </row>
    <row r="97" spans="2:51" x14ac:dyDescent="0.35">
      <c r="B97" t="s">
        <v>162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>
        <f>Предпосылки!$C$92/Предпосылки!$C$95</f>
        <v>0</v>
      </c>
      <c r="Q97" s="22">
        <f>Предпосылки!$C$92/Предпосылки!$C$95</f>
        <v>0</v>
      </c>
      <c r="R97" s="22">
        <f>Предпосылки!$C$92/Предпосылки!$C$95</f>
        <v>0</v>
      </c>
      <c r="S97" s="22">
        <f>Предпосылки!$C$92/Предпосылки!$C$95</f>
        <v>0</v>
      </c>
      <c r="T97" s="22">
        <f>Предпосылки!$C$92/Предпосылки!$C$95</f>
        <v>0</v>
      </c>
      <c r="U97" s="22">
        <f>Предпосылки!$C$92/Предпосылки!$C$95</f>
        <v>0</v>
      </c>
      <c r="V97" s="22">
        <f>Предпосылки!$C$92/Предпосылки!$C$95</f>
        <v>0</v>
      </c>
      <c r="W97" s="22">
        <f>Предпосылки!$C$92/Предпосылки!$C$95</f>
        <v>0</v>
      </c>
      <c r="X97" s="22">
        <f>Предпосылки!$C$92/Предпосылки!$C$95</f>
        <v>0</v>
      </c>
      <c r="Y97" s="22">
        <f>Предпосылки!$C$92/Предпосылки!$C$95</f>
        <v>0</v>
      </c>
      <c r="Z97" s="22">
        <f>Предпосылки!$C$92/Предпосылки!$C$95</f>
        <v>0</v>
      </c>
      <c r="AA97" s="22">
        <f>Предпосылки!$C$92/Предпосылки!$C$95</f>
        <v>0</v>
      </c>
      <c r="AB97" s="22">
        <f>Предпосылки!$C$92/Предпосылки!$C$95</f>
        <v>0</v>
      </c>
      <c r="AC97" s="22">
        <f>Предпосылки!$C$92/Предпосылки!$C$95</f>
        <v>0</v>
      </c>
      <c r="AD97" s="22">
        <f>Предпосылки!$C$92/Предпосылки!$C$95</f>
        <v>0</v>
      </c>
      <c r="AE97" s="22">
        <f>Предпосылки!$C$92/Предпосылки!$C$95</f>
        <v>0</v>
      </c>
      <c r="AF97" s="22">
        <f>Предпосылки!$C$92/Предпосылки!$C$95</f>
        <v>0</v>
      </c>
      <c r="AG97" s="22">
        <f>Предпосылки!$C$92/Предпосылки!$C$95</f>
        <v>0</v>
      </c>
      <c r="AH97" s="22">
        <f>Предпосылки!$C$92/Предпосылки!$C$95</f>
        <v>0</v>
      </c>
      <c r="AI97" s="22">
        <f>Предпосылки!$C$92/Предпосылки!$C$95</f>
        <v>0</v>
      </c>
      <c r="AJ97" s="22">
        <f>Предпосылки!$C$92/Предпосылки!$C$95</f>
        <v>0</v>
      </c>
      <c r="AK97" s="22">
        <f>Предпосылки!$C$92/Предпосылки!$C$95</f>
        <v>0</v>
      </c>
      <c r="AL97" s="22">
        <f>Предпосылки!$C$92/Предпосылки!$C$95</f>
        <v>0</v>
      </c>
      <c r="AM97" s="22">
        <f>Предпосылки!$C$92/Предпосылки!$C$95</f>
        <v>0</v>
      </c>
      <c r="AN97" s="22">
        <f>Предпосылки!$C$92/Предпосылки!$C$95</f>
        <v>0</v>
      </c>
      <c r="AO97" s="22">
        <f>Предпосылки!$C$92/Предпосылки!$C$95</f>
        <v>0</v>
      </c>
      <c r="AP97" s="22">
        <f>Предпосылки!$C$92/Предпосылки!$C$95</f>
        <v>0</v>
      </c>
      <c r="AQ97" s="22">
        <f>Предпосылки!$C$92/Предпосылки!$C$95</f>
        <v>0</v>
      </c>
      <c r="AR97" s="22">
        <f>Предпосылки!$C$92/Предпосылки!$C$95</f>
        <v>0</v>
      </c>
      <c r="AS97" s="22">
        <f>Предпосылки!$C$92/Предпосылки!$C$95</f>
        <v>0</v>
      </c>
      <c r="AT97" s="22">
        <f>Предпосылки!$C$92/Предпосылки!$C$95</f>
        <v>0</v>
      </c>
      <c r="AU97" s="22">
        <f>Предпосылки!$C$92/Предпосылки!$C$95</f>
        <v>0</v>
      </c>
      <c r="AV97" s="22">
        <f>Предпосылки!$C$92/Предпосылки!$C$95</f>
        <v>0</v>
      </c>
      <c r="AW97" s="22">
        <f>Предпосылки!$C$92/Предпосылки!$C$95</f>
        <v>0</v>
      </c>
      <c r="AX97" s="22">
        <f>Предпосылки!$C$92/Предпосылки!$C$95</f>
        <v>0</v>
      </c>
      <c r="AY97" s="22">
        <f>Предпосылки!$C$92/Предпосылки!$C$95</f>
        <v>0</v>
      </c>
    </row>
    <row r="98" spans="2:51" x14ac:dyDescent="0.35">
      <c r="B98" t="s">
        <v>163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>
        <v>0</v>
      </c>
      <c r="P98" s="22">
        <f t="shared" ref="P98:AY98" si="37">O98-P97+P96</f>
        <v>0</v>
      </c>
      <c r="Q98" s="22">
        <f t="shared" si="37"/>
        <v>0</v>
      </c>
      <c r="R98" s="22">
        <f t="shared" si="37"/>
        <v>0</v>
      </c>
      <c r="S98" s="22">
        <f t="shared" si="37"/>
        <v>0</v>
      </c>
      <c r="T98" s="22">
        <f t="shared" si="37"/>
        <v>0</v>
      </c>
      <c r="U98" s="22">
        <f t="shared" si="37"/>
        <v>0</v>
      </c>
      <c r="V98" s="22">
        <f t="shared" si="37"/>
        <v>0</v>
      </c>
      <c r="W98" s="22">
        <f t="shared" si="37"/>
        <v>0</v>
      </c>
      <c r="X98" s="22">
        <f t="shared" si="37"/>
        <v>0</v>
      </c>
      <c r="Y98" s="22">
        <f t="shared" si="37"/>
        <v>0</v>
      </c>
      <c r="Z98" s="22">
        <f t="shared" si="37"/>
        <v>0</v>
      </c>
      <c r="AA98" s="22">
        <f t="shared" si="37"/>
        <v>0</v>
      </c>
      <c r="AB98" s="22">
        <f t="shared" si="37"/>
        <v>0</v>
      </c>
      <c r="AC98" s="22">
        <f t="shared" si="37"/>
        <v>0</v>
      </c>
      <c r="AD98" s="22">
        <f t="shared" si="37"/>
        <v>0</v>
      </c>
      <c r="AE98" s="22">
        <f t="shared" si="37"/>
        <v>0</v>
      </c>
      <c r="AF98" s="22">
        <f t="shared" si="37"/>
        <v>0</v>
      </c>
      <c r="AG98" s="22">
        <f t="shared" si="37"/>
        <v>0</v>
      </c>
      <c r="AH98" s="22">
        <f t="shared" si="37"/>
        <v>0</v>
      </c>
      <c r="AI98" s="22">
        <f t="shared" si="37"/>
        <v>0</v>
      </c>
      <c r="AJ98" s="22">
        <f t="shared" si="37"/>
        <v>0</v>
      </c>
      <c r="AK98" s="22">
        <f t="shared" si="37"/>
        <v>0</v>
      </c>
      <c r="AL98" s="22">
        <f t="shared" si="37"/>
        <v>0</v>
      </c>
      <c r="AM98" s="22">
        <f t="shared" si="37"/>
        <v>0</v>
      </c>
      <c r="AN98" s="22">
        <f t="shared" si="37"/>
        <v>0</v>
      </c>
      <c r="AO98" s="22">
        <f t="shared" si="37"/>
        <v>0</v>
      </c>
      <c r="AP98" s="22">
        <f t="shared" si="37"/>
        <v>0</v>
      </c>
      <c r="AQ98" s="22">
        <f t="shared" si="37"/>
        <v>0</v>
      </c>
      <c r="AR98" s="22">
        <f t="shared" si="37"/>
        <v>0</v>
      </c>
      <c r="AS98" s="22">
        <f t="shared" si="37"/>
        <v>0</v>
      </c>
      <c r="AT98" s="22">
        <f t="shared" si="37"/>
        <v>0</v>
      </c>
      <c r="AU98" s="22">
        <f t="shared" si="37"/>
        <v>0</v>
      </c>
      <c r="AV98" s="22">
        <f t="shared" si="37"/>
        <v>0</v>
      </c>
      <c r="AW98" s="22">
        <f t="shared" si="37"/>
        <v>0</v>
      </c>
      <c r="AX98" s="22">
        <f t="shared" si="37"/>
        <v>0</v>
      </c>
      <c r="AY98" s="22">
        <f t="shared" si="37"/>
        <v>0</v>
      </c>
    </row>
    <row r="100" spans="2:51" x14ac:dyDescent="0.35">
      <c r="B100" s="20" t="s">
        <v>164</v>
      </c>
      <c r="C100" s="20" t="s">
        <v>14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</row>
    <row r="101" spans="2:51" x14ac:dyDescent="0.35">
      <c r="B101" t="s">
        <v>165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>
        <f t="shared" ref="P101:AY101" si="38">P29-P30</f>
        <v>347.06416666666655</v>
      </c>
      <c r="Q101" s="22">
        <f t="shared" si="38"/>
        <v>356.47012916666654</v>
      </c>
      <c r="R101" s="22">
        <f t="shared" si="38"/>
        <v>366.39218110416664</v>
      </c>
      <c r="S101" s="22">
        <f t="shared" si="38"/>
        <v>376.83806382072908</v>
      </c>
      <c r="T101" s="22">
        <f t="shared" si="38"/>
        <v>387.81563477804002</v>
      </c>
      <c r="U101" s="22">
        <f t="shared" si="38"/>
        <v>206.88381853683745</v>
      </c>
      <c r="V101" s="22">
        <f t="shared" si="38"/>
        <v>210.31207546937935</v>
      </c>
      <c r="W101" s="22">
        <f t="shared" si="38"/>
        <v>213.89019375590942</v>
      </c>
      <c r="X101" s="22">
        <f t="shared" si="38"/>
        <v>441.62493408863884</v>
      </c>
      <c r="Y101" s="22">
        <f t="shared" si="38"/>
        <v>453.44589886411131</v>
      </c>
      <c r="Z101" s="22">
        <f t="shared" si="38"/>
        <v>463.2523031112155</v>
      </c>
      <c r="AA101" s="22">
        <f t="shared" si="38"/>
        <v>471.0533034220266</v>
      </c>
      <c r="AB101" s="22">
        <f t="shared" si="38"/>
        <v>478.97131873750004</v>
      </c>
      <c r="AC101" s="22">
        <f t="shared" si="38"/>
        <v>487.00810428270506</v>
      </c>
      <c r="AD101" s="22">
        <f t="shared" si="38"/>
        <v>495.16544161108868</v>
      </c>
      <c r="AE101" s="22">
        <f t="shared" si="38"/>
        <v>503.44513899939784</v>
      </c>
      <c r="AF101" s="22">
        <f t="shared" si="38"/>
        <v>511.84903184853147</v>
      </c>
      <c r="AG101" s="22">
        <f t="shared" si="38"/>
        <v>271.28291357083322</v>
      </c>
      <c r="AH101" s="22">
        <f t="shared" si="38"/>
        <v>273.88351799894281</v>
      </c>
      <c r="AI101" s="22">
        <f t="shared" si="38"/>
        <v>276.52313149347401</v>
      </c>
      <c r="AJ101" s="22">
        <f t="shared" si="38"/>
        <v>562.4118278180481</v>
      </c>
      <c r="AK101" s="22">
        <f t="shared" si="38"/>
        <v>571.91787612161488</v>
      </c>
      <c r="AL101" s="22">
        <f t="shared" si="38"/>
        <v>581.56651514973464</v>
      </c>
      <c r="AM101" s="22">
        <f t="shared" si="38"/>
        <v>591.35988376327668</v>
      </c>
      <c r="AN101" s="22">
        <f t="shared" si="38"/>
        <v>601.30015290602159</v>
      </c>
      <c r="AO101" s="22">
        <f t="shared" si="38"/>
        <v>611.38952608590807</v>
      </c>
      <c r="AP101" s="22">
        <f t="shared" si="38"/>
        <v>621.63023986349253</v>
      </c>
      <c r="AQ101" s="22">
        <f t="shared" si="38"/>
        <v>632.02456434774058</v>
      </c>
      <c r="AR101" s="22">
        <f t="shared" si="38"/>
        <v>642.5748036992527</v>
      </c>
      <c r="AS101" s="22">
        <f t="shared" si="38"/>
        <v>340.56832012593281</v>
      </c>
      <c r="AT101" s="22">
        <f t="shared" si="38"/>
        <v>343.83311653251553</v>
      </c>
      <c r="AU101" s="22">
        <f t="shared" si="38"/>
        <v>347.14688488519687</v>
      </c>
      <c r="AV101" s="22">
        <f t="shared" si="38"/>
        <v>706.05129124336145</v>
      </c>
      <c r="AW101" s="22">
        <f t="shared" si="38"/>
        <v>717.98517553842339</v>
      </c>
      <c r="AX101" s="22">
        <f t="shared" si="38"/>
        <v>730.09806809791144</v>
      </c>
      <c r="AY101" s="22">
        <f t="shared" si="38"/>
        <v>742.39265404579191</v>
      </c>
    </row>
    <row r="102" spans="2:51" x14ac:dyDescent="0.35">
      <c r="B102" t="s">
        <v>166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>
        <f t="shared" ref="P102:AY102" si="39">(P56-P57)+(P60-P61)+(P64-P65)+(P68-P69)+(P70-P71)</f>
        <v>171.99958333333336</v>
      </c>
      <c r="Q102" s="22">
        <f t="shared" si="39"/>
        <v>173.83361663541663</v>
      </c>
      <c r="R102" s="22">
        <f t="shared" si="39"/>
        <v>175.74445459353927</v>
      </c>
      <c r="S102" s="22">
        <f t="shared" si="39"/>
        <v>177.73402837304624</v>
      </c>
      <c r="T102" s="22">
        <f t="shared" si="39"/>
        <v>179.80431080088459</v>
      </c>
      <c r="U102" s="22">
        <f t="shared" si="39"/>
        <v>141.54191753989679</v>
      </c>
      <c r="V102" s="22">
        <f t="shared" si="39"/>
        <v>142.37430580446704</v>
      </c>
      <c r="W102" s="22">
        <f t="shared" si="39"/>
        <v>143.23327181456128</v>
      </c>
      <c r="X102" s="22">
        <f t="shared" si="39"/>
        <v>187.20498627384862</v>
      </c>
      <c r="Y102" s="22">
        <f t="shared" si="39"/>
        <v>189.43980320717273</v>
      </c>
      <c r="Z102" s="22">
        <f t="shared" si="39"/>
        <v>191.50264676370594</v>
      </c>
      <c r="AA102" s="22">
        <f t="shared" si="39"/>
        <v>193.39184474813516</v>
      </c>
      <c r="AB102" s="22">
        <f t="shared" si="39"/>
        <v>200.40273041885499</v>
      </c>
      <c r="AC102" s="22">
        <f t="shared" si="39"/>
        <v>202.36940921635164</v>
      </c>
      <c r="AD102" s="22">
        <f t="shared" si="39"/>
        <v>204.37600209187968</v>
      </c>
      <c r="AE102" s="22">
        <f t="shared" si="39"/>
        <v>206.42331248556155</v>
      </c>
      <c r="AF102" s="22">
        <f t="shared" si="39"/>
        <v>208.51215997740491</v>
      </c>
      <c r="AG102" s="22">
        <f t="shared" si="39"/>
        <v>158.50752047808984</v>
      </c>
      <c r="AH102" s="22">
        <f t="shared" si="39"/>
        <v>159.4008305243448</v>
      </c>
      <c r="AI102" s="22">
        <f t="shared" si="39"/>
        <v>160.31134515889153</v>
      </c>
      <c r="AJ102" s="22">
        <f t="shared" si="39"/>
        <v>216.13039788241409</v>
      </c>
      <c r="AK102" s="22">
        <f t="shared" si="39"/>
        <v>218.43396502418764</v>
      </c>
      <c r="AL102" s="22">
        <f t="shared" si="39"/>
        <v>220.78431505460352</v>
      </c>
      <c r="AM102" s="22">
        <f t="shared" si="39"/>
        <v>223.18238983404288</v>
      </c>
      <c r="AN102" s="22">
        <f t="shared" si="39"/>
        <v>230.9666501442031</v>
      </c>
      <c r="AO102" s="22">
        <f t="shared" si="39"/>
        <v>233.46307606801102</v>
      </c>
      <c r="AP102" s="22">
        <f t="shared" si="39"/>
        <v>236.01016737716262</v>
      </c>
      <c r="AQ102" s="22">
        <f t="shared" si="39"/>
        <v>238.60894392744345</v>
      </c>
      <c r="AR102" s="22">
        <f t="shared" si="39"/>
        <v>241.26044606198454</v>
      </c>
      <c r="AS102" s="22">
        <f t="shared" si="39"/>
        <v>177.78649265604071</v>
      </c>
      <c r="AT102" s="22">
        <f t="shared" si="39"/>
        <v>178.92042584345668</v>
      </c>
      <c r="AU102" s="22">
        <f t="shared" si="39"/>
        <v>180.07619786915924</v>
      </c>
      <c r="AV102" s="22">
        <f t="shared" si="39"/>
        <v>250.93074231168688</v>
      </c>
      <c r="AW102" s="22">
        <f t="shared" si="39"/>
        <v>253.85480125678529</v>
      </c>
      <c r="AX102" s="22">
        <f t="shared" si="39"/>
        <v>256.83824458948493</v>
      </c>
      <c r="AY102" s="22">
        <f t="shared" si="39"/>
        <v>259.88226787088854</v>
      </c>
    </row>
    <row r="103" spans="2:51" x14ac:dyDescent="0.35">
      <c r="B103" t="s">
        <v>167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>
        <f t="shared" ref="P103:AY103" si="40">MAX(P101-P102,0)</f>
        <v>175.06458333333319</v>
      </c>
      <c r="Q103" s="22">
        <f t="shared" si="40"/>
        <v>182.63651253124991</v>
      </c>
      <c r="R103" s="22">
        <f t="shared" si="40"/>
        <v>190.64772651062736</v>
      </c>
      <c r="S103" s="22">
        <f t="shared" si="40"/>
        <v>199.10403544768283</v>
      </c>
      <c r="T103" s="22">
        <f t="shared" si="40"/>
        <v>208.01132397715543</v>
      </c>
      <c r="U103" s="22">
        <f t="shared" si="40"/>
        <v>65.341900996940666</v>
      </c>
      <c r="V103" s="22">
        <f t="shared" si="40"/>
        <v>67.93776966491231</v>
      </c>
      <c r="W103" s="22">
        <f t="shared" si="40"/>
        <v>70.656921941348145</v>
      </c>
      <c r="X103" s="22">
        <f t="shared" si="40"/>
        <v>254.41994781479022</v>
      </c>
      <c r="Y103" s="22">
        <f t="shared" si="40"/>
        <v>264.00609565693856</v>
      </c>
      <c r="Z103" s="22">
        <f t="shared" si="40"/>
        <v>271.74965634750959</v>
      </c>
      <c r="AA103" s="22">
        <f t="shared" si="40"/>
        <v>277.66145867389145</v>
      </c>
      <c r="AB103" s="22">
        <f t="shared" si="40"/>
        <v>278.56858831864508</v>
      </c>
      <c r="AC103" s="22">
        <f t="shared" si="40"/>
        <v>284.63869506635342</v>
      </c>
      <c r="AD103" s="22">
        <f t="shared" si="40"/>
        <v>290.789439519209</v>
      </c>
      <c r="AE103" s="22">
        <f t="shared" si="40"/>
        <v>297.02182651383629</v>
      </c>
      <c r="AF103" s="22">
        <f t="shared" si="40"/>
        <v>303.33687187112656</v>
      </c>
      <c r="AG103" s="22">
        <f t="shared" si="40"/>
        <v>112.77539309274337</v>
      </c>
      <c r="AH103" s="22">
        <f t="shared" si="40"/>
        <v>114.48268747459801</v>
      </c>
      <c r="AI103" s="22">
        <f t="shared" si="40"/>
        <v>116.21178633458248</v>
      </c>
      <c r="AJ103" s="22">
        <f t="shared" si="40"/>
        <v>346.28142993563404</v>
      </c>
      <c r="AK103" s="22">
        <f t="shared" si="40"/>
        <v>353.48391109742727</v>
      </c>
      <c r="AL103" s="22">
        <f t="shared" si="40"/>
        <v>360.78220009513109</v>
      </c>
      <c r="AM103" s="22">
        <f t="shared" si="40"/>
        <v>368.17749392923383</v>
      </c>
      <c r="AN103" s="22">
        <f t="shared" si="40"/>
        <v>370.33350276181852</v>
      </c>
      <c r="AO103" s="22">
        <f t="shared" si="40"/>
        <v>377.92645001789708</v>
      </c>
      <c r="AP103" s="22">
        <f t="shared" si="40"/>
        <v>385.62007248632995</v>
      </c>
      <c r="AQ103" s="22">
        <f t="shared" si="40"/>
        <v>393.41562042029716</v>
      </c>
      <c r="AR103" s="22">
        <f t="shared" si="40"/>
        <v>401.31435763726813</v>
      </c>
      <c r="AS103" s="22">
        <f t="shared" si="40"/>
        <v>162.78182746989211</v>
      </c>
      <c r="AT103" s="22">
        <f t="shared" si="40"/>
        <v>164.91269068905885</v>
      </c>
      <c r="AU103" s="22">
        <f t="shared" si="40"/>
        <v>167.07068701603762</v>
      </c>
      <c r="AV103" s="22">
        <f t="shared" si="40"/>
        <v>455.12054893167453</v>
      </c>
      <c r="AW103" s="22">
        <f t="shared" si="40"/>
        <v>464.13037428163807</v>
      </c>
      <c r="AX103" s="22">
        <f t="shared" si="40"/>
        <v>473.25982350842651</v>
      </c>
      <c r="AY103" s="22">
        <f t="shared" si="40"/>
        <v>482.51038617490337</v>
      </c>
    </row>
    <row r="105" spans="2:51" x14ac:dyDescent="0.35">
      <c r="B105" s="20" t="s">
        <v>168</v>
      </c>
      <c r="C105" s="20" t="s">
        <v>14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</row>
    <row r="106" spans="2:51" x14ac:dyDescent="0.35">
      <c r="B106" t="s">
        <v>169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>
        <f>Предпосылки!$C$88</f>
        <v>-2000</v>
      </c>
      <c r="P106" s="22">
        <f t="shared" ref="P106:AY106" si="41">O106+P47</f>
        <v>-2117.5046695402298</v>
      </c>
      <c r="Q106" s="22">
        <f t="shared" si="41"/>
        <v>-2197.1496930908766</v>
      </c>
      <c r="R106" s="22">
        <f t="shared" si="41"/>
        <v>-2236.7386467446368</v>
      </c>
      <c r="S106" s="22">
        <f t="shared" si="41"/>
        <v>-2234.0460557131191</v>
      </c>
      <c r="T106" s="22">
        <f t="shared" si="41"/>
        <v>-2186.8170220342381</v>
      </c>
      <c r="U106" s="22">
        <f t="shared" si="41"/>
        <v>-2852.9351032564318</v>
      </c>
      <c r="V106" s="22">
        <f t="shared" si="41"/>
        <v>-3506.073841138767</v>
      </c>
      <c r="W106" s="22">
        <f t="shared" si="41"/>
        <v>-4145.6168176389228</v>
      </c>
      <c r="X106" s="22">
        <f t="shared" si="41"/>
        <v>-3866.3446647718683</v>
      </c>
      <c r="Y106" s="22">
        <f t="shared" si="41"/>
        <v>-3539.1417726940726</v>
      </c>
      <c r="Z106" s="22">
        <f t="shared" si="41"/>
        <v>-3173.22107716342</v>
      </c>
      <c r="AA106" s="22">
        <f t="shared" si="41"/>
        <v>-2777.7413700008583</v>
      </c>
      <c r="AB106" s="22">
        <f t="shared" si="41"/>
        <v>-2416.8673939248752</v>
      </c>
      <c r="AC106" s="22">
        <f t="shared" si="41"/>
        <v>-2025.6428841103486</v>
      </c>
      <c r="AD106" s="22">
        <f t="shared" si="41"/>
        <v>-1603.6646520315446</v>
      </c>
      <c r="AE106" s="22">
        <f t="shared" si="41"/>
        <v>-1150.5244849796038</v>
      </c>
      <c r="AF106" s="22">
        <f t="shared" si="41"/>
        <v>-665.80909114121141</v>
      </c>
      <c r="AG106" s="22">
        <f t="shared" si="41"/>
        <v>-1133.9010911947353</v>
      </c>
      <c r="AH106" s="22">
        <f t="shared" si="41"/>
        <v>-1593.4566193389858</v>
      </c>
      <c r="AI106" s="22">
        <f t="shared" si="41"/>
        <v>-2044.3666531833144</v>
      </c>
      <c r="AJ106" s="22">
        <f t="shared" si="41"/>
        <v>-1344.9284690223858</v>
      </c>
      <c r="AK106" s="22">
        <f t="shared" si="41"/>
        <v>-609.47787905249038</v>
      </c>
      <c r="AL106" s="22">
        <f t="shared" si="41"/>
        <v>162.46415590592505</v>
      </c>
      <c r="AM106" s="22">
        <f t="shared" si="41"/>
        <v>971.38266003485273</v>
      </c>
      <c r="AN106" s="22">
        <f t="shared" si="41"/>
        <v>1749.5827600508428</v>
      </c>
      <c r="AO106" s="22">
        <f t="shared" si="41"/>
        <v>2565.7475963472243</v>
      </c>
      <c r="AP106" s="22">
        <f t="shared" si="41"/>
        <v>3420.38054498577</v>
      </c>
      <c r="AQ106" s="22">
        <f t="shared" si="41"/>
        <v>4313.9912332941531</v>
      </c>
      <c r="AR106" s="22">
        <f t="shared" si="41"/>
        <v>5247.0956076873899</v>
      </c>
      <c r="AS106" s="22">
        <f t="shared" si="41"/>
        <v>4987.5373312437478</v>
      </c>
      <c r="AT106" s="22">
        <f t="shared" si="41"/>
        <v>4738.6333708959392</v>
      </c>
      <c r="AU106" s="22">
        <f t="shared" si="41"/>
        <v>4500.5193921830241</v>
      </c>
      <c r="AV106" s="22">
        <f t="shared" si="41"/>
        <v>5702.6547230482938</v>
      </c>
      <c r="AW106" s="22">
        <f t="shared" si="41"/>
        <v>6949.8391806633826</v>
      </c>
      <c r="AX106" s="22">
        <f t="shared" si="41"/>
        <v>8242.6708844124132</v>
      </c>
      <c r="AY106" s="22">
        <f t="shared" si="41"/>
        <v>9581.7554014938269</v>
      </c>
    </row>
    <row r="107" spans="2:51" x14ac:dyDescent="0.35">
      <c r="B107" t="s">
        <v>170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>
        <f>MAX(MIN(P47,P106),0)*Предпосылки!$C$84</f>
        <v>0</v>
      </c>
      <c r="Q107" s="22">
        <f>MAX(MIN(Q47,Q106),0)*Предпосылки!$C$84</f>
        <v>0</v>
      </c>
      <c r="R107" s="22">
        <f>MAX(MIN(R47,R106),0)*Предпосылки!$C$84</f>
        <v>0</v>
      </c>
      <c r="S107" s="22">
        <f>MAX(MIN(S47,S106),0)*Предпосылки!$C$84</f>
        <v>0</v>
      </c>
      <c r="T107" s="22">
        <f>MAX(MIN(T47,T106),0)*Предпосылки!$C$84</f>
        <v>0</v>
      </c>
      <c r="U107" s="22">
        <f>MAX(MIN(U47,U106),0)*Предпосылки!$C$84</f>
        <v>0</v>
      </c>
      <c r="V107" s="22">
        <f>MAX(MIN(V47,V106),0)*Предпосылки!$C$84</f>
        <v>0</v>
      </c>
      <c r="W107" s="22">
        <f>MAX(MIN(W47,W106),0)*Предпосылки!$C$84</f>
        <v>0</v>
      </c>
      <c r="X107" s="22">
        <f>MAX(MIN(X47,X106),0)*Предпосылки!$C$84</f>
        <v>0</v>
      </c>
      <c r="Y107" s="22">
        <f>MAX(MIN(Y47,Y106),0)*Предпосылки!$C$84</f>
        <v>0</v>
      </c>
      <c r="Z107" s="22">
        <f>MAX(MIN(Z47,Z106),0)*Предпосылки!$C$84</f>
        <v>0</v>
      </c>
      <c r="AA107" s="22">
        <f>MAX(MIN(AA47,AA106),0)*Предпосылки!$C$84</f>
        <v>0</v>
      </c>
      <c r="AB107" s="22">
        <f>MAX(MIN(AB47,AB106),0)*Предпосылки!$C$84</f>
        <v>0</v>
      </c>
      <c r="AC107" s="22">
        <f>MAX(MIN(AC47,AC106),0)*Предпосылки!$C$84</f>
        <v>0</v>
      </c>
      <c r="AD107" s="22">
        <f>MAX(MIN(AD47,AD106),0)*Предпосылки!$C$84</f>
        <v>0</v>
      </c>
      <c r="AE107" s="22">
        <f>MAX(MIN(AE47,AE106),0)*Предпосылки!$C$84</f>
        <v>0</v>
      </c>
      <c r="AF107" s="22">
        <f>MAX(MIN(AF47,AF106),0)*Предпосылки!$C$84</f>
        <v>0</v>
      </c>
      <c r="AG107" s="22">
        <f>MAX(MIN(AG47,AG106),0)*Предпосылки!$C$84</f>
        <v>0</v>
      </c>
      <c r="AH107" s="22">
        <f>MAX(MIN(AH47,AH106),0)*Предпосылки!$C$84</f>
        <v>0</v>
      </c>
      <c r="AI107" s="22">
        <f>MAX(MIN(AI47,AI106),0)*Предпосылки!$C$84</f>
        <v>0</v>
      </c>
      <c r="AJ107" s="22">
        <f>MAX(MIN(AJ47,AJ106),0)*Предпосылки!$C$84</f>
        <v>0</v>
      </c>
      <c r="AK107" s="22">
        <f>MAX(MIN(AK47,AK106),0)*Предпосылки!$C$84</f>
        <v>0</v>
      </c>
      <c r="AL107" s="22">
        <f>MAX(MIN(AL47,AL106),0)*Предпосылки!$C$84</f>
        <v>32.492831181185011</v>
      </c>
      <c r="AM107" s="22">
        <f>MAX(MIN(AM47,AM106),0)*Предпосылки!$C$84</f>
        <v>161.78370082578556</v>
      </c>
      <c r="AN107" s="22">
        <f>MAX(MIN(AN47,AN106),0)*Предпосылки!$C$84</f>
        <v>155.64002000319803</v>
      </c>
      <c r="AO107" s="22">
        <f>MAX(MIN(AO47,AO106),0)*Предпосылки!$C$84</f>
        <v>163.23296725927628</v>
      </c>
      <c r="AP107" s="22">
        <f>MAX(MIN(AP47,AP106),0)*Предпосылки!$C$84</f>
        <v>170.92658972770911</v>
      </c>
      <c r="AQ107" s="22">
        <f>MAX(MIN(AQ47,AQ106),0)*Предпосылки!$C$84</f>
        <v>178.72213766167658</v>
      </c>
      <c r="AR107" s="22">
        <f>MAX(MIN(AR47,AR106),0)*Предпосылки!$C$84</f>
        <v>186.62087487864744</v>
      </c>
      <c r="AS107" s="22">
        <f>MAX(MIN(AS47,AS106),0)*Предпосылки!$C$84</f>
        <v>0</v>
      </c>
      <c r="AT107" s="22">
        <f>MAX(MIN(AT47,AT106),0)*Предпосылки!$C$84</f>
        <v>0</v>
      </c>
      <c r="AU107" s="22">
        <f>MAX(MIN(AU47,AU106),0)*Предпосылки!$C$84</f>
        <v>0</v>
      </c>
      <c r="AV107" s="22">
        <f>MAX(MIN(AV47,AV106),0)*Предпосылки!$C$84</f>
        <v>240.4270661730539</v>
      </c>
      <c r="AW107" s="22">
        <f>MAX(MIN(AW47,AW106),0)*Предпосылки!$C$84</f>
        <v>249.43689152301772</v>
      </c>
      <c r="AX107" s="22">
        <f>MAX(MIN(AX47,AX106),0)*Предпосылки!$C$84</f>
        <v>258.5663407498061</v>
      </c>
      <c r="AY107" s="22">
        <f>MAX(MIN(AY47,AY106),0)*Предпосылки!$C$84</f>
        <v>267.81690341628286</v>
      </c>
    </row>
    <row r="109" spans="2:51" x14ac:dyDescent="0.35">
      <c r="B109" s="20" t="s">
        <v>171</v>
      </c>
      <c r="C109" s="20" t="s">
        <v>14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</row>
    <row r="110" spans="2:51" x14ac:dyDescent="0.35">
      <c r="B110" s="1" t="s">
        <v>172</v>
      </c>
      <c r="C110" s="1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>
        <f t="shared" ref="O110:AY110" si="42">SUM(O111,O113)</f>
        <v>2702.9</v>
      </c>
      <c r="P110" s="26">
        <f t="shared" si="42"/>
        <v>3040.7338304597706</v>
      </c>
      <c r="Q110" s="26">
        <f t="shared" si="42"/>
        <v>2966.7323844091238</v>
      </c>
      <c r="R110" s="26">
        <f t="shared" si="42"/>
        <v>2933.0966619178644</v>
      </c>
      <c r="S110" s="26">
        <f t="shared" si="42"/>
        <v>2942.0567825793191</v>
      </c>
      <c r="T110" s="26">
        <f t="shared" si="42"/>
        <v>2995.872358832587</v>
      </c>
      <c r="U110" s="26">
        <f t="shared" si="42"/>
        <v>2221.1951878656719</v>
      </c>
      <c r="V110" s="26">
        <f t="shared" si="42"/>
        <v>1570.1134041428618</v>
      </c>
      <c r="W110" s="26">
        <f t="shared" si="42"/>
        <v>932.71729861462359</v>
      </c>
      <c r="X110" s="26">
        <f t="shared" si="42"/>
        <v>1348.6302956813158</v>
      </c>
      <c r="Y110" s="26">
        <f t="shared" si="42"/>
        <v>1682.925766624395</v>
      </c>
      <c r="Z110" s="26">
        <f t="shared" si="42"/>
        <v>2054.7303047033101</v>
      </c>
      <c r="AA110" s="26">
        <f t="shared" si="42"/>
        <v>2454.8906120523588</v>
      </c>
      <c r="AB110" s="26">
        <f t="shared" si="42"/>
        <v>2820.5153973176257</v>
      </c>
      <c r="AC110" s="26">
        <f t="shared" si="42"/>
        <v>3216.5619784592755</v>
      </c>
      <c r="AD110" s="26">
        <f t="shared" si="42"/>
        <v>3643.4346129351097</v>
      </c>
      <c r="AE110" s="26">
        <f t="shared" si="42"/>
        <v>4101.5425984200356</v>
      </c>
      <c r="AF110" s="26">
        <f t="shared" si="42"/>
        <v>4591.3003279679087</v>
      </c>
      <c r="AG110" s="26">
        <f t="shared" si="42"/>
        <v>3978.8686569477659</v>
      </c>
      <c r="AH110" s="26">
        <f t="shared" si="42"/>
        <v>3520.873491460381</v>
      </c>
      <c r="AI110" s="26">
        <f t="shared" si="42"/>
        <v>3071.5472257127713</v>
      </c>
      <c r="AJ110" s="26">
        <f t="shared" si="42"/>
        <v>3942.518627668444</v>
      </c>
      <c r="AK110" s="26">
        <f t="shared" si="42"/>
        <v>4683.6728466204795</v>
      </c>
      <c r="AL110" s="26">
        <f t="shared" si="42"/>
        <v>5428.9112338145824</v>
      </c>
      <c r="AM110" s="26">
        <f t="shared" si="42"/>
        <v>6081.9220582858488</v>
      </c>
      <c r="AN110" s="26">
        <f t="shared" si="42"/>
        <v>6710.4462997842884</v>
      </c>
      <c r="AO110" s="26">
        <f t="shared" si="42"/>
        <v>7369.431792729325</v>
      </c>
      <c r="AP110" s="26">
        <f t="shared" si="42"/>
        <v>8059.2825799067123</v>
      </c>
      <c r="AQ110" s="26">
        <f t="shared" si="42"/>
        <v>8780.4077252439674</v>
      </c>
      <c r="AR110" s="26">
        <f t="shared" si="42"/>
        <v>9533.2213683694663</v>
      </c>
      <c r="AS110" s="26">
        <f t="shared" si="42"/>
        <v>9092.4592017818322</v>
      </c>
      <c r="AT110" s="26">
        <f t="shared" si="42"/>
        <v>8845.514119277972</v>
      </c>
      <c r="AU110" s="26">
        <f t="shared" si="42"/>
        <v>8609.3884015766671</v>
      </c>
      <c r="AV110" s="26">
        <f t="shared" si="42"/>
        <v>9786.4393100837824</v>
      </c>
      <c r="AW110" s="26">
        <f t="shared" si="42"/>
        <v>10791.347206752891</v>
      </c>
      <c r="AX110" s="26">
        <f t="shared" si="42"/>
        <v>11832.880305287807</v>
      </c>
      <c r="AY110" s="26">
        <f t="shared" si="42"/>
        <v>12911.524670521667</v>
      </c>
    </row>
    <row r="111" spans="2:51" x14ac:dyDescent="0.35">
      <c r="B111" s="1" t="s">
        <v>173</v>
      </c>
      <c r="C111" s="1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>
        <f t="shared" ref="O111:AY111" si="43">O112</f>
        <v>480</v>
      </c>
      <c r="P111" s="26">
        <f t="shared" si="43"/>
        <v>460</v>
      </c>
      <c r="Q111" s="26">
        <f t="shared" si="43"/>
        <v>440</v>
      </c>
      <c r="R111" s="26">
        <f t="shared" si="43"/>
        <v>420</v>
      </c>
      <c r="S111" s="26">
        <f t="shared" si="43"/>
        <v>400</v>
      </c>
      <c r="T111" s="26">
        <f t="shared" si="43"/>
        <v>380</v>
      </c>
      <c r="U111" s="26">
        <f t="shared" si="43"/>
        <v>360</v>
      </c>
      <c r="V111" s="26">
        <f t="shared" si="43"/>
        <v>340</v>
      </c>
      <c r="W111" s="26">
        <f t="shared" si="43"/>
        <v>320</v>
      </c>
      <c r="X111" s="26">
        <f t="shared" si="43"/>
        <v>300</v>
      </c>
      <c r="Y111" s="26">
        <f t="shared" si="43"/>
        <v>280</v>
      </c>
      <c r="Z111" s="26">
        <f t="shared" si="43"/>
        <v>260</v>
      </c>
      <c r="AA111" s="26">
        <f t="shared" si="43"/>
        <v>240</v>
      </c>
      <c r="AB111" s="26">
        <f t="shared" si="43"/>
        <v>228</v>
      </c>
      <c r="AC111" s="26">
        <f t="shared" si="43"/>
        <v>216</v>
      </c>
      <c r="AD111" s="26">
        <f t="shared" si="43"/>
        <v>204</v>
      </c>
      <c r="AE111" s="26">
        <f t="shared" si="43"/>
        <v>192</v>
      </c>
      <c r="AF111" s="26">
        <f t="shared" si="43"/>
        <v>180</v>
      </c>
      <c r="AG111" s="26">
        <f t="shared" si="43"/>
        <v>168</v>
      </c>
      <c r="AH111" s="26">
        <f t="shared" si="43"/>
        <v>156</v>
      </c>
      <c r="AI111" s="26">
        <f t="shared" si="43"/>
        <v>144</v>
      </c>
      <c r="AJ111" s="26">
        <f t="shared" si="43"/>
        <v>132</v>
      </c>
      <c r="AK111" s="26">
        <f t="shared" si="43"/>
        <v>120</v>
      </c>
      <c r="AL111" s="26">
        <f t="shared" si="43"/>
        <v>108</v>
      </c>
      <c r="AM111" s="26">
        <f t="shared" si="43"/>
        <v>96</v>
      </c>
      <c r="AN111" s="26">
        <f t="shared" si="43"/>
        <v>92</v>
      </c>
      <c r="AO111" s="26">
        <f t="shared" si="43"/>
        <v>88</v>
      </c>
      <c r="AP111" s="26">
        <f t="shared" si="43"/>
        <v>84</v>
      </c>
      <c r="AQ111" s="26">
        <f t="shared" si="43"/>
        <v>80</v>
      </c>
      <c r="AR111" s="26">
        <f t="shared" si="43"/>
        <v>76</v>
      </c>
      <c r="AS111" s="26">
        <f t="shared" si="43"/>
        <v>72</v>
      </c>
      <c r="AT111" s="26">
        <f t="shared" si="43"/>
        <v>68</v>
      </c>
      <c r="AU111" s="26">
        <f t="shared" si="43"/>
        <v>64</v>
      </c>
      <c r="AV111" s="26">
        <f t="shared" si="43"/>
        <v>60</v>
      </c>
      <c r="AW111" s="26">
        <f t="shared" si="43"/>
        <v>56</v>
      </c>
      <c r="AX111" s="26">
        <f t="shared" si="43"/>
        <v>52</v>
      </c>
      <c r="AY111" s="26">
        <f t="shared" si="43"/>
        <v>48</v>
      </c>
    </row>
    <row r="112" spans="2:51" x14ac:dyDescent="0.35">
      <c r="B112" t="s">
        <v>174</v>
      </c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>
        <f t="shared" ref="O112:AY112" si="44">O95+O98</f>
        <v>480</v>
      </c>
      <c r="P112" s="22">
        <f t="shared" si="44"/>
        <v>460</v>
      </c>
      <c r="Q112" s="22">
        <f t="shared" si="44"/>
        <v>440</v>
      </c>
      <c r="R112" s="22">
        <f t="shared" si="44"/>
        <v>420</v>
      </c>
      <c r="S112" s="22">
        <f t="shared" si="44"/>
        <v>400</v>
      </c>
      <c r="T112" s="22">
        <f t="shared" si="44"/>
        <v>380</v>
      </c>
      <c r="U112" s="22">
        <f t="shared" si="44"/>
        <v>360</v>
      </c>
      <c r="V112" s="22">
        <f t="shared" si="44"/>
        <v>340</v>
      </c>
      <c r="W112" s="22">
        <f t="shared" si="44"/>
        <v>320</v>
      </c>
      <c r="X112" s="22">
        <f t="shared" si="44"/>
        <v>300</v>
      </c>
      <c r="Y112" s="22">
        <f t="shared" si="44"/>
        <v>280</v>
      </c>
      <c r="Z112" s="22">
        <f t="shared" si="44"/>
        <v>260</v>
      </c>
      <c r="AA112" s="22">
        <f t="shared" si="44"/>
        <v>240</v>
      </c>
      <c r="AB112" s="22">
        <f t="shared" si="44"/>
        <v>228</v>
      </c>
      <c r="AC112" s="22">
        <f t="shared" si="44"/>
        <v>216</v>
      </c>
      <c r="AD112" s="22">
        <f t="shared" si="44"/>
        <v>204</v>
      </c>
      <c r="AE112" s="22">
        <f t="shared" si="44"/>
        <v>192</v>
      </c>
      <c r="AF112" s="22">
        <f t="shared" si="44"/>
        <v>180</v>
      </c>
      <c r="AG112" s="22">
        <f t="shared" si="44"/>
        <v>168</v>
      </c>
      <c r="AH112" s="22">
        <f t="shared" si="44"/>
        <v>156</v>
      </c>
      <c r="AI112" s="22">
        <f t="shared" si="44"/>
        <v>144</v>
      </c>
      <c r="AJ112" s="22">
        <f t="shared" si="44"/>
        <v>132</v>
      </c>
      <c r="AK112" s="22">
        <f t="shared" si="44"/>
        <v>120</v>
      </c>
      <c r="AL112" s="22">
        <f t="shared" si="44"/>
        <v>108</v>
      </c>
      <c r="AM112" s="22">
        <f t="shared" si="44"/>
        <v>96</v>
      </c>
      <c r="AN112" s="22">
        <f t="shared" si="44"/>
        <v>92</v>
      </c>
      <c r="AO112" s="22">
        <f t="shared" si="44"/>
        <v>88</v>
      </c>
      <c r="AP112" s="22">
        <f t="shared" si="44"/>
        <v>84</v>
      </c>
      <c r="AQ112" s="22">
        <f t="shared" si="44"/>
        <v>80</v>
      </c>
      <c r="AR112" s="22">
        <f t="shared" si="44"/>
        <v>76</v>
      </c>
      <c r="AS112" s="22">
        <f t="shared" si="44"/>
        <v>72</v>
      </c>
      <c r="AT112" s="22">
        <f t="shared" si="44"/>
        <v>68</v>
      </c>
      <c r="AU112" s="22">
        <f t="shared" si="44"/>
        <v>64</v>
      </c>
      <c r="AV112" s="22">
        <f t="shared" si="44"/>
        <v>60</v>
      </c>
      <c r="AW112" s="22">
        <f t="shared" si="44"/>
        <v>56</v>
      </c>
      <c r="AX112" s="22">
        <f t="shared" si="44"/>
        <v>52</v>
      </c>
      <c r="AY112" s="22">
        <f t="shared" si="44"/>
        <v>48</v>
      </c>
    </row>
    <row r="113" spans="2:51" x14ac:dyDescent="0.35">
      <c r="B113" s="1" t="s">
        <v>175</v>
      </c>
      <c r="C113" s="1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>
        <f t="shared" ref="O113:AY113" si="45">SUM(O114:O116)</f>
        <v>2222.9</v>
      </c>
      <c r="P113" s="26">
        <f t="shared" si="45"/>
        <v>2580.7338304597706</v>
      </c>
      <c r="Q113" s="26">
        <f t="shared" si="45"/>
        <v>2526.7323844091238</v>
      </c>
      <c r="R113" s="26">
        <f t="shared" si="45"/>
        <v>2513.0966619178644</v>
      </c>
      <c r="S113" s="26">
        <f t="shared" si="45"/>
        <v>2542.0567825793191</v>
      </c>
      <c r="T113" s="26">
        <f t="shared" si="45"/>
        <v>2615.872358832587</v>
      </c>
      <c r="U113" s="26">
        <f t="shared" si="45"/>
        <v>1861.1951878656719</v>
      </c>
      <c r="V113" s="26">
        <f t="shared" si="45"/>
        <v>1230.1134041428618</v>
      </c>
      <c r="W113" s="26">
        <f t="shared" si="45"/>
        <v>612.71729861462359</v>
      </c>
      <c r="X113" s="26">
        <f t="shared" si="45"/>
        <v>1048.6302956813158</v>
      </c>
      <c r="Y113" s="26">
        <f t="shared" si="45"/>
        <v>1402.925766624395</v>
      </c>
      <c r="Z113" s="26">
        <f t="shared" si="45"/>
        <v>1794.7303047033104</v>
      </c>
      <c r="AA113" s="26">
        <f t="shared" si="45"/>
        <v>2214.8906120523588</v>
      </c>
      <c r="AB113" s="26">
        <f t="shared" si="45"/>
        <v>2592.5153973176257</v>
      </c>
      <c r="AC113" s="26">
        <f t="shared" si="45"/>
        <v>3000.5619784592755</v>
      </c>
      <c r="AD113" s="26">
        <f t="shared" si="45"/>
        <v>3439.4346129351097</v>
      </c>
      <c r="AE113" s="26">
        <f t="shared" si="45"/>
        <v>3909.542598420036</v>
      </c>
      <c r="AF113" s="26">
        <f t="shared" si="45"/>
        <v>4411.3003279679087</v>
      </c>
      <c r="AG113" s="26">
        <f t="shared" si="45"/>
        <v>3810.8686569477659</v>
      </c>
      <c r="AH113" s="26">
        <f t="shared" si="45"/>
        <v>3364.873491460381</v>
      </c>
      <c r="AI113" s="26">
        <f t="shared" si="45"/>
        <v>2927.5472257127713</v>
      </c>
      <c r="AJ113" s="26">
        <f t="shared" si="45"/>
        <v>3810.518627668444</v>
      </c>
      <c r="AK113" s="26">
        <f t="shared" si="45"/>
        <v>4563.6728466204795</v>
      </c>
      <c r="AL113" s="26">
        <f t="shared" si="45"/>
        <v>5320.9112338145824</v>
      </c>
      <c r="AM113" s="26">
        <f t="shared" si="45"/>
        <v>5985.9220582858488</v>
      </c>
      <c r="AN113" s="26">
        <f t="shared" si="45"/>
        <v>6618.4462997842884</v>
      </c>
      <c r="AO113" s="26">
        <f t="shared" si="45"/>
        <v>7281.431792729325</v>
      </c>
      <c r="AP113" s="26">
        <f t="shared" si="45"/>
        <v>7975.2825799067123</v>
      </c>
      <c r="AQ113" s="26">
        <f t="shared" si="45"/>
        <v>8700.4077252439674</v>
      </c>
      <c r="AR113" s="26">
        <f t="shared" si="45"/>
        <v>9457.2213683694663</v>
      </c>
      <c r="AS113" s="26">
        <f t="shared" si="45"/>
        <v>9020.4592017818322</v>
      </c>
      <c r="AT113" s="26">
        <f t="shared" si="45"/>
        <v>8777.514119277972</v>
      </c>
      <c r="AU113" s="26">
        <f t="shared" si="45"/>
        <v>8545.3884015766671</v>
      </c>
      <c r="AV113" s="26">
        <f t="shared" si="45"/>
        <v>9726.4393100837824</v>
      </c>
      <c r="AW113" s="26">
        <f t="shared" si="45"/>
        <v>10735.347206752891</v>
      </c>
      <c r="AX113" s="26">
        <f t="shared" si="45"/>
        <v>11780.880305287807</v>
      </c>
      <c r="AY113" s="26">
        <f t="shared" si="45"/>
        <v>12863.524670521667</v>
      </c>
    </row>
    <row r="114" spans="2:51" x14ac:dyDescent="0.35">
      <c r="B114" t="s">
        <v>176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>
        <v>0</v>
      </c>
      <c r="P114" s="22">
        <f t="shared" ref="P114:AY114" si="46">O114</f>
        <v>0</v>
      </c>
      <c r="Q114" s="22">
        <f t="shared" si="46"/>
        <v>0</v>
      </c>
      <c r="R114" s="22">
        <f t="shared" si="46"/>
        <v>0</v>
      </c>
      <c r="S114" s="22">
        <f t="shared" si="46"/>
        <v>0</v>
      </c>
      <c r="T114" s="22">
        <f t="shared" si="46"/>
        <v>0</v>
      </c>
      <c r="U114" s="22">
        <f t="shared" si="46"/>
        <v>0</v>
      </c>
      <c r="V114" s="22">
        <f t="shared" si="46"/>
        <v>0</v>
      </c>
      <c r="W114" s="22">
        <f t="shared" si="46"/>
        <v>0</v>
      </c>
      <c r="X114" s="22">
        <f t="shared" si="46"/>
        <v>0</v>
      </c>
      <c r="Y114" s="22">
        <f t="shared" si="46"/>
        <v>0</v>
      </c>
      <c r="Z114" s="22">
        <f t="shared" si="46"/>
        <v>0</v>
      </c>
      <c r="AA114" s="22">
        <f t="shared" si="46"/>
        <v>0</v>
      </c>
      <c r="AB114" s="22">
        <f t="shared" si="46"/>
        <v>0</v>
      </c>
      <c r="AC114" s="22">
        <f t="shared" si="46"/>
        <v>0</v>
      </c>
      <c r="AD114" s="22">
        <f t="shared" si="46"/>
        <v>0</v>
      </c>
      <c r="AE114" s="22">
        <f t="shared" si="46"/>
        <v>0</v>
      </c>
      <c r="AF114" s="22">
        <f t="shared" si="46"/>
        <v>0</v>
      </c>
      <c r="AG114" s="22">
        <f t="shared" si="46"/>
        <v>0</v>
      </c>
      <c r="AH114" s="22">
        <f t="shared" si="46"/>
        <v>0</v>
      </c>
      <c r="AI114" s="22">
        <f t="shared" si="46"/>
        <v>0</v>
      </c>
      <c r="AJ114" s="22">
        <f t="shared" si="46"/>
        <v>0</v>
      </c>
      <c r="AK114" s="22">
        <f t="shared" si="46"/>
        <v>0</v>
      </c>
      <c r="AL114" s="22">
        <f t="shared" si="46"/>
        <v>0</v>
      </c>
      <c r="AM114" s="22">
        <f t="shared" si="46"/>
        <v>0</v>
      </c>
      <c r="AN114" s="22">
        <f t="shared" si="46"/>
        <v>0</v>
      </c>
      <c r="AO114" s="22">
        <f t="shared" si="46"/>
        <v>0</v>
      </c>
      <c r="AP114" s="22">
        <f t="shared" si="46"/>
        <v>0</v>
      </c>
      <c r="AQ114" s="22">
        <f t="shared" si="46"/>
        <v>0</v>
      </c>
      <c r="AR114" s="22">
        <f t="shared" si="46"/>
        <v>0</v>
      </c>
      <c r="AS114" s="22">
        <f t="shared" si="46"/>
        <v>0</v>
      </c>
      <c r="AT114" s="22">
        <f t="shared" si="46"/>
        <v>0</v>
      </c>
      <c r="AU114" s="22">
        <f t="shared" si="46"/>
        <v>0</v>
      </c>
      <c r="AV114" s="22">
        <f t="shared" si="46"/>
        <v>0</v>
      </c>
      <c r="AW114" s="22">
        <f t="shared" si="46"/>
        <v>0</v>
      </c>
      <c r="AX114" s="22">
        <f t="shared" si="46"/>
        <v>0</v>
      </c>
      <c r="AY114" s="22">
        <f t="shared" si="46"/>
        <v>0</v>
      </c>
    </row>
    <row r="115" spans="2:51" x14ac:dyDescent="0.35">
      <c r="B115" t="s">
        <v>177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>
        <f>Предпосылки!$C$89*O29</f>
        <v>202.9</v>
      </c>
      <c r="P115" s="22">
        <f>Предпосылки!$C$89*P29</f>
        <v>208.23850000000004</v>
      </c>
      <c r="Q115" s="22">
        <f>Предпосылки!$C$89*Q29</f>
        <v>213.88207749999998</v>
      </c>
      <c r="R115" s="22">
        <f>Предпосылки!$C$89*R29</f>
        <v>219.83530866249998</v>
      </c>
      <c r="S115" s="22">
        <f>Предпосылки!$C$89*S29</f>
        <v>226.1028382924375</v>
      </c>
      <c r="T115" s="22">
        <f>Предпосылки!$C$89*T29</f>
        <v>232.68938086682408</v>
      </c>
      <c r="U115" s="22">
        <f>Предпосылки!$C$89*U29</f>
        <v>124.13029112210248</v>
      </c>
      <c r="V115" s="22">
        <f>Предпосылки!$C$89*V29</f>
        <v>126.18724528162761</v>
      </c>
      <c r="W115" s="22">
        <f>Предпосылки!$C$89*W29</f>
        <v>128.33411625354566</v>
      </c>
      <c r="X115" s="22">
        <f>Предпосылки!$C$89*X29</f>
        <v>264.97496045318337</v>
      </c>
      <c r="Y115" s="22">
        <f>Предпосылки!$C$89*Y29</f>
        <v>272.0675393184668</v>
      </c>
      <c r="Z115" s="22">
        <f>Предпосылки!$C$89*Z29</f>
        <v>277.95138186672949</v>
      </c>
      <c r="AA115" s="22">
        <f>Предпосылки!$C$89*AA29</f>
        <v>282.63198205321612</v>
      </c>
      <c r="AB115" s="22">
        <f>Предпосылки!$C$89*AB29</f>
        <v>287.38279124249999</v>
      </c>
      <c r="AC115" s="22">
        <f>Предпосылки!$C$89*AC29</f>
        <v>292.20486256962312</v>
      </c>
      <c r="AD115" s="22">
        <f>Предпосылки!$C$89*AD29</f>
        <v>297.09926496665327</v>
      </c>
      <c r="AE115" s="22">
        <f>Предпосылки!$C$89*AE29</f>
        <v>302.06708339963876</v>
      </c>
      <c r="AF115" s="22">
        <f>Предпосылки!$C$89*AF29</f>
        <v>307.10941910911902</v>
      </c>
      <c r="AG115" s="22">
        <f>Предпосылки!$C$89*AG29</f>
        <v>162.76974814250002</v>
      </c>
      <c r="AH115" s="22">
        <f>Предпосылки!$C$89*AH29</f>
        <v>164.33011079936577</v>
      </c>
      <c r="AI115" s="22">
        <f>Предпосылки!$C$89*AI29</f>
        <v>165.91387889608447</v>
      </c>
      <c r="AJ115" s="22">
        <f>Предпосылки!$C$89*AJ29</f>
        <v>337.44709669082886</v>
      </c>
      <c r="AK115" s="22">
        <f>Предпосылки!$C$89*AK29</f>
        <v>343.15072567296897</v>
      </c>
      <c r="AL115" s="22">
        <f>Предпосылки!$C$89*AL29</f>
        <v>348.93990908984097</v>
      </c>
      <c r="AM115" s="22">
        <f>Предпосылки!$C$89*AM29</f>
        <v>354.81593025796604</v>
      </c>
      <c r="AN115" s="22">
        <f>Предпосылки!$C$89*AN29</f>
        <v>360.78009174361313</v>
      </c>
      <c r="AO115" s="22">
        <f>Предпосылки!$C$89*AO29</f>
        <v>366.83371565154482</v>
      </c>
      <c r="AP115" s="22">
        <f>Предпосылки!$C$89*AP29</f>
        <v>372.9781439180955</v>
      </c>
      <c r="AQ115" s="22">
        <f>Предпосылки!$C$89*AQ29</f>
        <v>379.21473860864444</v>
      </c>
      <c r="AR115" s="22">
        <f>Предпосылки!$C$89*AR29</f>
        <v>385.54488221955165</v>
      </c>
      <c r="AS115" s="22">
        <f>Предпосылки!$C$89*AS29</f>
        <v>204.3409920755598</v>
      </c>
      <c r="AT115" s="22">
        <f>Предпосылки!$C$89*AT29</f>
        <v>206.29986991950938</v>
      </c>
      <c r="AU115" s="22">
        <f>Предпосылки!$C$89*AU29</f>
        <v>208.28813093111822</v>
      </c>
      <c r="AV115" s="22">
        <f>Предпосылки!$C$89*AV29</f>
        <v>423.63077474601698</v>
      </c>
      <c r="AW115" s="22">
        <f>Предпосылки!$C$89*AW29</f>
        <v>430.79110532305424</v>
      </c>
      <c r="AX115" s="22">
        <f>Предпосылки!$C$89*AX29</f>
        <v>438.05884085874709</v>
      </c>
      <c r="AY115" s="22">
        <f>Предпосылки!$C$89*AY29</f>
        <v>445.43559242747529</v>
      </c>
    </row>
    <row r="116" spans="2:51" x14ac:dyDescent="0.35">
      <c r="B116" s="27" t="s">
        <v>178</v>
      </c>
      <c r="C116" s="27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>
        <f>O118-O111-O114-O115</f>
        <v>2020</v>
      </c>
      <c r="P116" s="28">
        <f t="shared" ref="P116:AY116" si="47">O116+P151</f>
        <v>2372.4953304597707</v>
      </c>
      <c r="Q116" s="28">
        <f t="shared" si="47"/>
        <v>2312.8503069091239</v>
      </c>
      <c r="R116" s="28">
        <f t="shared" si="47"/>
        <v>2293.2613532553642</v>
      </c>
      <c r="S116" s="28">
        <f t="shared" si="47"/>
        <v>2315.9539442868818</v>
      </c>
      <c r="T116" s="28">
        <f t="shared" si="47"/>
        <v>2383.1829779657628</v>
      </c>
      <c r="U116" s="28">
        <f t="shared" si="47"/>
        <v>1737.0648967435693</v>
      </c>
      <c r="V116" s="28">
        <f t="shared" si="47"/>
        <v>1103.9261588612342</v>
      </c>
      <c r="W116" s="28">
        <f t="shared" si="47"/>
        <v>484.38318236107796</v>
      </c>
      <c r="X116" s="28">
        <f t="shared" si="47"/>
        <v>783.65533522813246</v>
      </c>
      <c r="Y116" s="28">
        <f t="shared" si="47"/>
        <v>1130.8582273059283</v>
      </c>
      <c r="Z116" s="28">
        <f t="shared" si="47"/>
        <v>1516.7789228365809</v>
      </c>
      <c r="AA116" s="28">
        <f t="shared" si="47"/>
        <v>1932.2586299991426</v>
      </c>
      <c r="AB116" s="28">
        <f t="shared" si="47"/>
        <v>2305.1326060751258</v>
      </c>
      <c r="AC116" s="28">
        <f t="shared" si="47"/>
        <v>2708.3571158896525</v>
      </c>
      <c r="AD116" s="28">
        <f t="shared" si="47"/>
        <v>3142.3353479684565</v>
      </c>
      <c r="AE116" s="28">
        <f t="shared" si="47"/>
        <v>3607.4755150203973</v>
      </c>
      <c r="AF116" s="28">
        <f t="shared" si="47"/>
        <v>4104.19090885879</v>
      </c>
      <c r="AG116" s="28">
        <f t="shared" si="47"/>
        <v>3648.0989088052661</v>
      </c>
      <c r="AH116" s="28">
        <f t="shared" si="47"/>
        <v>3200.5433806610154</v>
      </c>
      <c r="AI116" s="28">
        <f t="shared" si="47"/>
        <v>2761.6333468166868</v>
      </c>
      <c r="AJ116" s="28">
        <f t="shared" si="47"/>
        <v>3473.0715309776151</v>
      </c>
      <c r="AK116" s="28">
        <f t="shared" si="47"/>
        <v>4220.5221209475103</v>
      </c>
      <c r="AL116" s="28">
        <f t="shared" si="47"/>
        <v>4971.971324724741</v>
      </c>
      <c r="AM116" s="28">
        <f t="shared" si="47"/>
        <v>5631.1061280278827</v>
      </c>
      <c r="AN116" s="28">
        <f t="shared" si="47"/>
        <v>6257.666208040675</v>
      </c>
      <c r="AO116" s="28">
        <f t="shared" si="47"/>
        <v>6914.5980770777805</v>
      </c>
      <c r="AP116" s="28">
        <f t="shared" si="47"/>
        <v>7602.3044359886171</v>
      </c>
      <c r="AQ116" s="28">
        <f t="shared" si="47"/>
        <v>8321.1929866353239</v>
      </c>
      <c r="AR116" s="28">
        <f t="shared" si="47"/>
        <v>9071.6764861499141</v>
      </c>
      <c r="AS116" s="28">
        <f t="shared" si="47"/>
        <v>8816.118209706272</v>
      </c>
      <c r="AT116" s="28">
        <f t="shared" si="47"/>
        <v>8571.2142493584633</v>
      </c>
      <c r="AU116" s="28">
        <f t="shared" si="47"/>
        <v>8337.1002706455492</v>
      </c>
      <c r="AV116" s="28">
        <f t="shared" si="47"/>
        <v>9302.8085353377646</v>
      </c>
      <c r="AW116" s="28">
        <f t="shared" si="47"/>
        <v>10304.556101429836</v>
      </c>
      <c r="AX116" s="28">
        <f t="shared" si="47"/>
        <v>11342.82146442906</v>
      </c>
      <c r="AY116" s="28">
        <f t="shared" si="47"/>
        <v>12418.089078094192</v>
      </c>
    </row>
    <row r="118" spans="2:51" x14ac:dyDescent="0.35">
      <c r="B118" s="1" t="s">
        <v>179</v>
      </c>
      <c r="C118" s="1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>
        <f t="shared" ref="O118:AY118" si="48">SUM(O119,O122,O124)</f>
        <v>2702.9</v>
      </c>
      <c r="P118" s="26">
        <f t="shared" si="48"/>
        <v>3040.7338304597702</v>
      </c>
      <c r="Q118" s="26">
        <f t="shared" si="48"/>
        <v>2966.7323844091234</v>
      </c>
      <c r="R118" s="26">
        <f t="shared" si="48"/>
        <v>2933.0966619178635</v>
      </c>
      <c r="S118" s="26">
        <f t="shared" si="48"/>
        <v>2942.0567825793182</v>
      </c>
      <c r="T118" s="26">
        <f t="shared" si="48"/>
        <v>2995.8723588325861</v>
      </c>
      <c r="U118" s="26">
        <f t="shared" si="48"/>
        <v>2221.1951878656705</v>
      </c>
      <c r="V118" s="26">
        <f t="shared" si="48"/>
        <v>1570.1134041428606</v>
      </c>
      <c r="W118" s="26">
        <f t="shared" si="48"/>
        <v>932.71729861462279</v>
      </c>
      <c r="X118" s="26">
        <f t="shared" si="48"/>
        <v>1348.6302956813151</v>
      </c>
      <c r="Y118" s="26">
        <f t="shared" si="48"/>
        <v>1682.9257666243941</v>
      </c>
      <c r="Z118" s="26">
        <f t="shared" si="48"/>
        <v>2054.7303047033097</v>
      </c>
      <c r="AA118" s="26">
        <f t="shared" si="48"/>
        <v>2454.8906120523579</v>
      </c>
      <c r="AB118" s="26">
        <f t="shared" si="48"/>
        <v>2820.5153973176248</v>
      </c>
      <c r="AC118" s="26">
        <f t="shared" si="48"/>
        <v>3216.5619784592741</v>
      </c>
      <c r="AD118" s="26">
        <f t="shared" si="48"/>
        <v>3643.4346129351088</v>
      </c>
      <c r="AE118" s="26">
        <f t="shared" si="48"/>
        <v>4101.5425984200356</v>
      </c>
      <c r="AF118" s="26">
        <f t="shared" si="48"/>
        <v>4591.3003279679078</v>
      </c>
      <c r="AG118" s="26">
        <f t="shared" si="48"/>
        <v>3978.868656947765</v>
      </c>
      <c r="AH118" s="26">
        <f t="shared" si="48"/>
        <v>3520.8734914603801</v>
      </c>
      <c r="AI118" s="26">
        <f t="shared" si="48"/>
        <v>3071.5472257127703</v>
      </c>
      <c r="AJ118" s="26">
        <f t="shared" si="48"/>
        <v>3942.5186276684431</v>
      </c>
      <c r="AK118" s="26">
        <f t="shared" si="48"/>
        <v>4683.6728466204786</v>
      </c>
      <c r="AL118" s="26">
        <f t="shared" si="48"/>
        <v>5428.9112338145806</v>
      </c>
      <c r="AM118" s="26">
        <f t="shared" si="48"/>
        <v>6081.9220582858488</v>
      </c>
      <c r="AN118" s="26">
        <f t="shared" si="48"/>
        <v>6710.4462997842875</v>
      </c>
      <c r="AO118" s="26">
        <f t="shared" si="48"/>
        <v>7369.4317927293232</v>
      </c>
      <c r="AP118" s="26">
        <f t="shared" si="48"/>
        <v>8059.2825799067105</v>
      </c>
      <c r="AQ118" s="26">
        <f t="shared" si="48"/>
        <v>8780.4077252439674</v>
      </c>
      <c r="AR118" s="26">
        <f t="shared" si="48"/>
        <v>9533.2213683694627</v>
      </c>
      <c r="AS118" s="26">
        <f t="shared" si="48"/>
        <v>9092.4592017818304</v>
      </c>
      <c r="AT118" s="26">
        <f t="shared" si="48"/>
        <v>8845.5141192779702</v>
      </c>
      <c r="AU118" s="26">
        <f t="shared" si="48"/>
        <v>8609.3884015766635</v>
      </c>
      <c r="AV118" s="26">
        <f t="shared" si="48"/>
        <v>9786.4393100837788</v>
      </c>
      <c r="AW118" s="26">
        <f t="shared" si="48"/>
        <v>10791.347206752887</v>
      </c>
      <c r="AX118" s="26">
        <f t="shared" si="48"/>
        <v>11832.880305287803</v>
      </c>
      <c r="AY118" s="26">
        <f t="shared" si="48"/>
        <v>12911.524670521663</v>
      </c>
    </row>
    <row r="119" spans="2:51" x14ac:dyDescent="0.35">
      <c r="B119" s="1" t="s">
        <v>180</v>
      </c>
      <c r="C119" s="1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>
        <f t="shared" ref="O119:AY119" si="49">SUM(O120:O121)</f>
        <v>-500</v>
      </c>
      <c r="P119" s="26">
        <f t="shared" si="49"/>
        <v>-167.50466954022977</v>
      </c>
      <c r="Q119" s="26">
        <f t="shared" si="49"/>
        <v>-247.14969309087655</v>
      </c>
      <c r="R119" s="26">
        <f t="shared" si="49"/>
        <v>-286.73864674463675</v>
      </c>
      <c r="S119" s="26">
        <f t="shared" si="49"/>
        <v>-284.04605571311913</v>
      </c>
      <c r="T119" s="26">
        <f t="shared" si="49"/>
        <v>-236.81702203423811</v>
      </c>
      <c r="U119" s="26">
        <f t="shared" si="49"/>
        <v>-902.93510325643183</v>
      </c>
      <c r="V119" s="26">
        <f t="shared" si="49"/>
        <v>-1556.073841138767</v>
      </c>
      <c r="W119" s="26">
        <f t="shared" si="49"/>
        <v>-2195.6168176389228</v>
      </c>
      <c r="X119" s="26">
        <f t="shared" si="49"/>
        <v>-1916.3446647718683</v>
      </c>
      <c r="Y119" s="26">
        <f t="shared" si="49"/>
        <v>-1589.1417726940726</v>
      </c>
      <c r="Z119" s="26">
        <f t="shared" si="49"/>
        <v>-1223.22107716342</v>
      </c>
      <c r="AA119" s="26">
        <f t="shared" si="49"/>
        <v>-827.7413700008583</v>
      </c>
      <c r="AB119" s="26">
        <f t="shared" si="49"/>
        <v>-466.86739392487516</v>
      </c>
      <c r="AC119" s="26">
        <f t="shared" si="49"/>
        <v>-75.642884110348632</v>
      </c>
      <c r="AD119" s="26">
        <f t="shared" si="49"/>
        <v>346.33534796845538</v>
      </c>
      <c r="AE119" s="26">
        <f t="shared" si="49"/>
        <v>799.47551502039619</v>
      </c>
      <c r="AF119" s="26">
        <f t="shared" si="49"/>
        <v>1284.1909088587886</v>
      </c>
      <c r="AG119" s="26">
        <f t="shared" si="49"/>
        <v>816.09890880526473</v>
      </c>
      <c r="AH119" s="26">
        <f t="shared" si="49"/>
        <v>356.54338066101423</v>
      </c>
      <c r="AI119" s="26">
        <f t="shared" si="49"/>
        <v>-94.366653183314384</v>
      </c>
      <c r="AJ119" s="26">
        <f t="shared" si="49"/>
        <v>605.0715309776142</v>
      </c>
      <c r="AK119" s="26">
        <f t="shared" si="49"/>
        <v>1340.5221209475096</v>
      </c>
      <c r="AL119" s="26">
        <f t="shared" si="49"/>
        <v>2079.97132472474</v>
      </c>
      <c r="AM119" s="26">
        <f t="shared" si="49"/>
        <v>2727.1061280278823</v>
      </c>
      <c r="AN119" s="26">
        <f t="shared" si="49"/>
        <v>3349.6662080406741</v>
      </c>
      <c r="AO119" s="26">
        <f t="shared" si="49"/>
        <v>4002.5980770777792</v>
      </c>
      <c r="AP119" s="26">
        <f t="shared" si="49"/>
        <v>4686.3044359886153</v>
      </c>
      <c r="AQ119" s="26">
        <f t="shared" si="49"/>
        <v>5401.1929866353221</v>
      </c>
      <c r="AR119" s="26">
        <f t="shared" si="49"/>
        <v>6147.6764861499114</v>
      </c>
      <c r="AS119" s="26">
        <f t="shared" si="49"/>
        <v>5888.1182097062692</v>
      </c>
      <c r="AT119" s="26">
        <f t="shared" si="49"/>
        <v>5639.2142493584606</v>
      </c>
      <c r="AU119" s="26">
        <f t="shared" si="49"/>
        <v>5401.1002706455456</v>
      </c>
      <c r="AV119" s="26">
        <f t="shared" si="49"/>
        <v>6362.808535337761</v>
      </c>
      <c r="AW119" s="26">
        <f t="shared" si="49"/>
        <v>7360.5561014298319</v>
      </c>
      <c r="AX119" s="26">
        <f t="shared" si="49"/>
        <v>8394.8214644290565</v>
      </c>
      <c r="AY119" s="26">
        <f t="shared" si="49"/>
        <v>9466.0890780941882</v>
      </c>
    </row>
    <row r="120" spans="2:51" x14ac:dyDescent="0.35">
      <c r="B120" t="s">
        <v>181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>
        <f>Предпосылки!$C$87</f>
        <v>1500</v>
      </c>
      <c r="P120" s="22">
        <f>O120+IF(P88=1,Предпосылки!$C$99,0)</f>
        <v>1950</v>
      </c>
      <c r="Q120" s="22">
        <f>P120+IF(Q88=1,Предпосылки!$C$99,0)</f>
        <v>1950</v>
      </c>
      <c r="R120" s="22">
        <f>Q120+IF(R88=1,Предпосылки!$C$99,0)</f>
        <v>1950</v>
      </c>
      <c r="S120" s="22">
        <f>R120+IF(S88=1,Предпосылки!$C$99,0)</f>
        <v>1950</v>
      </c>
      <c r="T120" s="22">
        <f>S120+IF(T88=1,Предпосылки!$C$99,0)</f>
        <v>1950</v>
      </c>
      <c r="U120" s="22">
        <f>T120+IF(U88=1,Предпосылки!$C$99,0)</f>
        <v>1950</v>
      </c>
      <c r="V120" s="22">
        <f>U120+IF(V88=1,Предпосылки!$C$99,0)</f>
        <v>1950</v>
      </c>
      <c r="W120" s="22">
        <f>V120+IF(W88=1,Предпосылки!$C$99,0)</f>
        <v>1950</v>
      </c>
      <c r="X120" s="22">
        <f>W120+IF(X88=1,Предпосылки!$C$99,0)</f>
        <v>1950</v>
      </c>
      <c r="Y120" s="22">
        <f>X120+IF(Y88=1,Предпосылки!$C$99,0)</f>
        <v>1950</v>
      </c>
      <c r="Z120" s="22">
        <f>Y120+IF(Z88=1,Предпосылки!$C$99,0)</f>
        <v>1950</v>
      </c>
      <c r="AA120" s="22">
        <f>Z120+IF(AA88=1,Предпосылки!$C$99,0)</f>
        <v>1950</v>
      </c>
      <c r="AB120" s="22">
        <f>AA120+IF(AB88=1,Предпосылки!$C$99,0)</f>
        <v>1950</v>
      </c>
      <c r="AC120" s="22">
        <f>AB120+IF(AC88=1,Предпосылки!$C$99,0)</f>
        <v>1950</v>
      </c>
      <c r="AD120" s="22">
        <f>AC120+IF(AD88=1,Предпосылки!$C$99,0)</f>
        <v>1950</v>
      </c>
      <c r="AE120" s="22">
        <f>AD120+IF(AE88=1,Предпосылки!$C$99,0)</f>
        <v>1950</v>
      </c>
      <c r="AF120" s="22">
        <f>AE120+IF(AF88=1,Предпосылки!$C$99,0)</f>
        <v>1950</v>
      </c>
      <c r="AG120" s="22">
        <f>AF120+IF(AG88=1,Предпосылки!$C$99,0)</f>
        <v>1950</v>
      </c>
      <c r="AH120" s="22">
        <f>AG120+IF(AH88=1,Предпосылки!$C$99,0)</f>
        <v>1950</v>
      </c>
      <c r="AI120" s="22">
        <f>AH120+IF(AI88=1,Предпосылки!$C$99,0)</f>
        <v>1950</v>
      </c>
      <c r="AJ120" s="22">
        <f>AI120+IF(AJ88=1,Предпосылки!$C$99,0)</f>
        <v>1950</v>
      </c>
      <c r="AK120" s="22">
        <f>AJ120+IF(AK88=1,Предпосылки!$C$99,0)</f>
        <v>1950</v>
      </c>
      <c r="AL120" s="22">
        <f>AK120+IF(AL88=1,Предпосылки!$C$99,0)</f>
        <v>1950</v>
      </c>
      <c r="AM120" s="22">
        <f>AL120+IF(AM88=1,Предпосылки!$C$99,0)</f>
        <v>1950</v>
      </c>
      <c r="AN120" s="22">
        <f>AM120+IF(AN88=1,Предпосылки!$C$99,0)</f>
        <v>1950</v>
      </c>
      <c r="AO120" s="22">
        <f>AN120+IF(AO88=1,Предпосылки!$C$99,0)</f>
        <v>1950</v>
      </c>
      <c r="AP120" s="22">
        <f>AO120+IF(AP88=1,Предпосылки!$C$99,0)</f>
        <v>1950</v>
      </c>
      <c r="AQ120" s="22">
        <f>AP120+IF(AQ88=1,Предпосылки!$C$99,0)</f>
        <v>1950</v>
      </c>
      <c r="AR120" s="22">
        <f>AQ120+IF(AR88=1,Предпосылки!$C$99,0)</f>
        <v>1950</v>
      </c>
      <c r="AS120" s="22">
        <f>AR120+IF(AS88=1,Предпосылки!$C$99,0)</f>
        <v>1950</v>
      </c>
      <c r="AT120" s="22">
        <f>AS120+IF(AT88=1,Предпосылки!$C$99,0)</f>
        <v>1950</v>
      </c>
      <c r="AU120" s="22">
        <f>AT120+IF(AU88=1,Предпосылки!$C$99,0)</f>
        <v>1950</v>
      </c>
      <c r="AV120" s="22">
        <f>AU120+IF(AV88=1,Предпосылки!$C$99,0)</f>
        <v>1950</v>
      </c>
      <c r="AW120" s="22">
        <f>AV120+IF(AW88=1,Предпосылки!$C$99,0)</f>
        <v>1950</v>
      </c>
      <c r="AX120" s="22">
        <f>AW120+IF(AX88=1,Предпосылки!$C$99,0)</f>
        <v>1950</v>
      </c>
      <c r="AY120" s="22">
        <f>AX120+IF(AY88=1,Предпосылки!$C$99,0)</f>
        <v>1950</v>
      </c>
    </row>
    <row r="121" spans="2:51" x14ac:dyDescent="0.35">
      <c r="B121" t="s">
        <v>182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>
        <f>Предпосылки!$C$88</f>
        <v>-2000</v>
      </c>
      <c r="P121" s="22">
        <f t="shared" ref="P121:AY121" si="50">O121+P49</f>
        <v>-2117.5046695402298</v>
      </c>
      <c r="Q121" s="22">
        <f t="shared" si="50"/>
        <v>-2197.1496930908766</v>
      </c>
      <c r="R121" s="22">
        <f t="shared" si="50"/>
        <v>-2236.7386467446368</v>
      </c>
      <c r="S121" s="22">
        <f t="shared" si="50"/>
        <v>-2234.0460557131191</v>
      </c>
      <c r="T121" s="22">
        <f t="shared" si="50"/>
        <v>-2186.8170220342381</v>
      </c>
      <c r="U121" s="22">
        <f t="shared" si="50"/>
        <v>-2852.9351032564318</v>
      </c>
      <c r="V121" s="22">
        <f t="shared" si="50"/>
        <v>-3506.073841138767</v>
      </c>
      <c r="W121" s="22">
        <f t="shared" si="50"/>
        <v>-4145.6168176389228</v>
      </c>
      <c r="X121" s="22">
        <f t="shared" si="50"/>
        <v>-3866.3446647718683</v>
      </c>
      <c r="Y121" s="22">
        <f t="shared" si="50"/>
        <v>-3539.1417726940726</v>
      </c>
      <c r="Z121" s="22">
        <f t="shared" si="50"/>
        <v>-3173.22107716342</v>
      </c>
      <c r="AA121" s="22">
        <f t="shared" si="50"/>
        <v>-2777.7413700008583</v>
      </c>
      <c r="AB121" s="22">
        <f t="shared" si="50"/>
        <v>-2416.8673939248752</v>
      </c>
      <c r="AC121" s="22">
        <f t="shared" si="50"/>
        <v>-2025.6428841103486</v>
      </c>
      <c r="AD121" s="22">
        <f t="shared" si="50"/>
        <v>-1603.6646520315446</v>
      </c>
      <c r="AE121" s="22">
        <f t="shared" si="50"/>
        <v>-1150.5244849796038</v>
      </c>
      <c r="AF121" s="22">
        <f t="shared" si="50"/>
        <v>-665.80909114121141</v>
      </c>
      <c r="AG121" s="22">
        <f t="shared" si="50"/>
        <v>-1133.9010911947353</v>
      </c>
      <c r="AH121" s="22">
        <f t="shared" si="50"/>
        <v>-1593.4566193389858</v>
      </c>
      <c r="AI121" s="22">
        <f t="shared" si="50"/>
        <v>-2044.3666531833144</v>
      </c>
      <c r="AJ121" s="22">
        <f t="shared" si="50"/>
        <v>-1344.9284690223858</v>
      </c>
      <c r="AK121" s="22">
        <f t="shared" si="50"/>
        <v>-609.47787905249038</v>
      </c>
      <c r="AL121" s="22">
        <f t="shared" si="50"/>
        <v>129.97132472474004</v>
      </c>
      <c r="AM121" s="22">
        <f t="shared" si="50"/>
        <v>777.10612802788216</v>
      </c>
      <c r="AN121" s="22">
        <f t="shared" si="50"/>
        <v>1399.6662080406741</v>
      </c>
      <c r="AO121" s="22">
        <f t="shared" si="50"/>
        <v>2052.5980770777792</v>
      </c>
      <c r="AP121" s="22">
        <f t="shared" si="50"/>
        <v>2736.3044359886153</v>
      </c>
      <c r="AQ121" s="22">
        <f t="shared" si="50"/>
        <v>3451.1929866353216</v>
      </c>
      <c r="AR121" s="22">
        <f t="shared" si="50"/>
        <v>4197.6764861499114</v>
      </c>
      <c r="AS121" s="22">
        <f t="shared" si="50"/>
        <v>3938.1182097062692</v>
      </c>
      <c r="AT121" s="22">
        <f t="shared" si="50"/>
        <v>3689.2142493584606</v>
      </c>
      <c r="AU121" s="22">
        <f t="shared" si="50"/>
        <v>3451.1002706455456</v>
      </c>
      <c r="AV121" s="22">
        <f t="shared" si="50"/>
        <v>4412.808535337761</v>
      </c>
      <c r="AW121" s="22">
        <f t="shared" si="50"/>
        <v>5410.5561014298319</v>
      </c>
      <c r="AX121" s="22">
        <f t="shared" si="50"/>
        <v>6444.8214644290565</v>
      </c>
      <c r="AY121" s="22">
        <f t="shared" si="50"/>
        <v>7516.0890780941882</v>
      </c>
    </row>
    <row r="122" spans="2:51" x14ac:dyDescent="0.35">
      <c r="B122" s="1" t="s">
        <v>183</v>
      </c>
      <c r="C122" s="1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>
        <f t="shared" ref="O122:AY122" si="51">SUM(O123)</f>
        <v>3000</v>
      </c>
      <c r="P122" s="26">
        <f t="shared" si="51"/>
        <v>3000</v>
      </c>
      <c r="Q122" s="26">
        <f t="shared" si="51"/>
        <v>3000</v>
      </c>
      <c r="R122" s="26">
        <f t="shared" si="51"/>
        <v>3000</v>
      </c>
      <c r="S122" s="26">
        <f t="shared" si="51"/>
        <v>3000</v>
      </c>
      <c r="T122" s="26">
        <f t="shared" si="51"/>
        <v>3000</v>
      </c>
      <c r="U122" s="26">
        <f t="shared" si="51"/>
        <v>3000</v>
      </c>
      <c r="V122" s="26">
        <f t="shared" si="51"/>
        <v>3000</v>
      </c>
      <c r="W122" s="26">
        <f t="shared" si="51"/>
        <v>3000</v>
      </c>
      <c r="X122" s="26">
        <f t="shared" si="51"/>
        <v>3000</v>
      </c>
      <c r="Y122" s="26">
        <f t="shared" si="51"/>
        <v>3000</v>
      </c>
      <c r="Z122" s="26">
        <f t="shared" si="51"/>
        <v>3000</v>
      </c>
      <c r="AA122" s="26">
        <f t="shared" si="51"/>
        <v>3000</v>
      </c>
      <c r="AB122" s="26">
        <f t="shared" si="51"/>
        <v>3000</v>
      </c>
      <c r="AC122" s="26">
        <f t="shared" si="51"/>
        <v>3000</v>
      </c>
      <c r="AD122" s="26">
        <f t="shared" si="51"/>
        <v>3000</v>
      </c>
      <c r="AE122" s="26">
        <f t="shared" si="51"/>
        <v>3000</v>
      </c>
      <c r="AF122" s="26">
        <f t="shared" si="51"/>
        <v>3000</v>
      </c>
      <c r="AG122" s="26">
        <f t="shared" si="51"/>
        <v>3000</v>
      </c>
      <c r="AH122" s="26">
        <f t="shared" si="51"/>
        <v>3000</v>
      </c>
      <c r="AI122" s="26">
        <f t="shared" si="51"/>
        <v>3000</v>
      </c>
      <c r="AJ122" s="26">
        <f t="shared" si="51"/>
        <v>3000</v>
      </c>
      <c r="AK122" s="26">
        <f t="shared" si="51"/>
        <v>3000</v>
      </c>
      <c r="AL122" s="26">
        <f t="shared" si="51"/>
        <v>3000</v>
      </c>
      <c r="AM122" s="26">
        <f t="shared" si="51"/>
        <v>3000</v>
      </c>
      <c r="AN122" s="26">
        <f t="shared" si="51"/>
        <v>3000</v>
      </c>
      <c r="AO122" s="26">
        <f t="shared" si="51"/>
        <v>3000</v>
      </c>
      <c r="AP122" s="26">
        <f t="shared" si="51"/>
        <v>3000</v>
      </c>
      <c r="AQ122" s="26">
        <f t="shared" si="51"/>
        <v>3000</v>
      </c>
      <c r="AR122" s="26">
        <f t="shared" si="51"/>
        <v>3000</v>
      </c>
      <c r="AS122" s="26">
        <f t="shared" si="51"/>
        <v>3000</v>
      </c>
      <c r="AT122" s="26">
        <f t="shared" si="51"/>
        <v>3000</v>
      </c>
      <c r="AU122" s="26">
        <f t="shared" si="51"/>
        <v>3000</v>
      </c>
      <c r="AV122" s="26">
        <f t="shared" si="51"/>
        <v>3000</v>
      </c>
      <c r="AW122" s="26">
        <f t="shared" si="51"/>
        <v>3000</v>
      </c>
      <c r="AX122" s="26">
        <f t="shared" si="51"/>
        <v>3000</v>
      </c>
      <c r="AY122" s="26">
        <f t="shared" si="51"/>
        <v>3000</v>
      </c>
    </row>
    <row r="123" spans="2:51" x14ac:dyDescent="0.35">
      <c r="B123" t="s">
        <v>184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>
        <f>Предпосылки!$C$65</f>
        <v>3000</v>
      </c>
      <c r="P123" s="22">
        <f t="shared" ref="P123:AY123" si="52">O123</f>
        <v>3000</v>
      </c>
      <c r="Q123" s="22">
        <f t="shared" si="52"/>
        <v>3000</v>
      </c>
      <c r="R123" s="22">
        <f t="shared" si="52"/>
        <v>3000</v>
      </c>
      <c r="S123" s="22">
        <f t="shared" si="52"/>
        <v>3000</v>
      </c>
      <c r="T123" s="22">
        <f t="shared" si="52"/>
        <v>3000</v>
      </c>
      <c r="U123" s="22">
        <f t="shared" si="52"/>
        <v>3000</v>
      </c>
      <c r="V123" s="22">
        <f t="shared" si="52"/>
        <v>3000</v>
      </c>
      <c r="W123" s="22">
        <f t="shared" si="52"/>
        <v>3000</v>
      </c>
      <c r="X123" s="22">
        <f t="shared" si="52"/>
        <v>3000</v>
      </c>
      <c r="Y123" s="22">
        <f t="shared" si="52"/>
        <v>3000</v>
      </c>
      <c r="Z123" s="22">
        <f t="shared" si="52"/>
        <v>3000</v>
      </c>
      <c r="AA123" s="22">
        <f t="shared" si="52"/>
        <v>3000</v>
      </c>
      <c r="AB123" s="22">
        <f t="shared" si="52"/>
        <v>3000</v>
      </c>
      <c r="AC123" s="22">
        <f t="shared" si="52"/>
        <v>3000</v>
      </c>
      <c r="AD123" s="22">
        <f t="shared" si="52"/>
        <v>3000</v>
      </c>
      <c r="AE123" s="22">
        <f t="shared" si="52"/>
        <v>3000</v>
      </c>
      <c r="AF123" s="22">
        <f t="shared" si="52"/>
        <v>3000</v>
      </c>
      <c r="AG123" s="22">
        <f t="shared" si="52"/>
        <v>3000</v>
      </c>
      <c r="AH123" s="22">
        <f t="shared" si="52"/>
        <v>3000</v>
      </c>
      <c r="AI123" s="22">
        <f t="shared" si="52"/>
        <v>3000</v>
      </c>
      <c r="AJ123" s="22">
        <f t="shared" si="52"/>
        <v>3000</v>
      </c>
      <c r="AK123" s="22">
        <f t="shared" si="52"/>
        <v>3000</v>
      </c>
      <c r="AL123" s="22">
        <f t="shared" si="52"/>
        <v>3000</v>
      </c>
      <c r="AM123" s="22">
        <f t="shared" si="52"/>
        <v>3000</v>
      </c>
      <c r="AN123" s="22">
        <f t="shared" si="52"/>
        <v>3000</v>
      </c>
      <c r="AO123" s="22">
        <f t="shared" si="52"/>
        <v>3000</v>
      </c>
      <c r="AP123" s="22">
        <f t="shared" si="52"/>
        <v>3000</v>
      </c>
      <c r="AQ123" s="22">
        <f t="shared" si="52"/>
        <v>3000</v>
      </c>
      <c r="AR123" s="22">
        <f t="shared" si="52"/>
        <v>3000</v>
      </c>
      <c r="AS123" s="22">
        <f t="shared" si="52"/>
        <v>3000</v>
      </c>
      <c r="AT123" s="22">
        <f t="shared" si="52"/>
        <v>3000</v>
      </c>
      <c r="AU123" s="22">
        <f t="shared" si="52"/>
        <v>3000</v>
      </c>
      <c r="AV123" s="22">
        <f t="shared" si="52"/>
        <v>3000</v>
      </c>
      <c r="AW123" s="22">
        <f t="shared" si="52"/>
        <v>3000</v>
      </c>
      <c r="AX123" s="22">
        <f t="shared" si="52"/>
        <v>3000</v>
      </c>
      <c r="AY123" s="22">
        <f t="shared" si="52"/>
        <v>3000</v>
      </c>
    </row>
    <row r="124" spans="2:51" x14ac:dyDescent="0.35">
      <c r="B124" s="1" t="s">
        <v>185</v>
      </c>
      <c r="C124" s="1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>
        <f t="shared" ref="O124:AY124" si="53">SUM(O125:O126)</f>
        <v>202.9</v>
      </c>
      <c r="P124" s="26">
        <f t="shared" si="53"/>
        <v>208.23850000000004</v>
      </c>
      <c r="Q124" s="26">
        <f t="shared" si="53"/>
        <v>213.88207749999998</v>
      </c>
      <c r="R124" s="26">
        <f t="shared" si="53"/>
        <v>219.83530866249998</v>
      </c>
      <c r="S124" s="26">
        <f t="shared" si="53"/>
        <v>226.1028382924375</v>
      </c>
      <c r="T124" s="26">
        <f t="shared" si="53"/>
        <v>232.68938086682408</v>
      </c>
      <c r="U124" s="26">
        <f t="shared" si="53"/>
        <v>124.13029112210248</v>
      </c>
      <c r="V124" s="26">
        <f t="shared" si="53"/>
        <v>126.18724528162761</v>
      </c>
      <c r="W124" s="26">
        <f t="shared" si="53"/>
        <v>128.33411625354566</v>
      </c>
      <c r="X124" s="26">
        <f t="shared" si="53"/>
        <v>264.97496045318337</v>
      </c>
      <c r="Y124" s="26">
        <f t="shared" si="53"/>
        <v>272.0675393184668</v>
      </c>
      <c r="Z124" s="26">
        <f t="shared" si="53"/>
        <v>277.95138186672949</v>
      </c>
      <c r="AA124" s="26">
        <f t="shared" si="53"/>
        <v>282.63198205321612</v>
      </c>
      <c r="AB124" s="26">
        <f t="shared" si="53"/>
        <v>287.38279124249999</v>
      </c>
      <c r="AC124" s="26">
        <f t="shared" si="53"/>
        <v>292.20486256962312</v>
      </c>
      <c r="AD124" s="26">
        <f t="shared" si="53"/>
        <v>297.09926496665327</v>
      </c>
      <c r="AE124" s="26">
        <f t="shared" si="53"/>
        <v>302.06708339963876</v>
      </c>
      <c r="AF124" s="26">
        <f t="shared" si="53"/>
        <v>307.10941910911902</v>
      </c>
      <c r="AG124" s="26">
        <f t="shared" si="53"/>
        <v>162.76974814250002</v>
      </c>
      <c r="AH124" s="26">
        <f t="shared" si="53"/>
        <v>164.33011079936577</v>
      </c>
      <c r="AI124" s="26">
        <f t="shared" si="53"/>
        <v>165.91387889608447</v>
      </c>
      <c r="AJ124" s="26">
        <f t="shared" si="53"/>
        <v>337.44709669082886</v>
      </c>
      <c r="AK124" s="26">
        <f t="shared" si="53"/>
        <v>343.15072567296897</v>
      </c>
      <c r="AL124" s="26">
        <f t="shared" si="53"/>
        <v>348.93990908984097</v>
      </c>
      <c r="AM124" s="26">
        <f t="shared" si="53"/>
        <v>354.81593025796604</v>
      </c>
      <c r="AN124" s="26">
        <f t="shared" si="53"/>
        <v>360.78009174361313</v>
      </c>
      <c r="AO124" s="26">
        <f t="shared" si="53"/>
        <v>366.83371565154482</v>
      </c>
      <c r="AP124" s="26">
        <f t="shared" si="53"/>
        <v>372.9781439180955</v>
      </c>
      <c r="AQ124" s="26">
        <f t="shared" si="53"/>
        <v>379.21473860864444</v>
      </c>
      <c r="AR124" s="26">
        <f t="shared" si="53"/>
        <v>385.54488221955165</v>
      </c>
      <c r="AS124" s="26">
        <f t="shared" si="53"/>
        <v>204.3409920755598</v>
      </c>
      <c r="AT124" s="26">
        <f t="shared" si="53"/>
        <v>206.29986991950938</v>
      </c>
      <c r="AU124" s="26">
        <f t="shared" si="53"/>
        <v>208.28813093111822</v>
      </c>
      <c r="AV124" s="26">
        <f t="shared" si="53"/>
        <v>423.63077474601698</v>
      </c>
      <c r="AW124" s="26">
        <f t="shared" si="53"/>
        <v>430.79110532305424</v>
      </c>
      <c r="AX124" s="26">
        <f t="shared" si="53"/>
        <v>438.05884085874709</v>
      </c>
      <c r="AY124" s="26">
        <f t="shared" si="53"/>
        <v>445.43559242747529</v>
      </c>
    </row>
    <row r="125" spans="2:51" x14ac:dyDescent="0.35">
      <c r="B125" t="s">
        <v>186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>
        <v>0</v>
      </c>
      <c r="P125" s="22">
        <f t="shared" ref="P125:AY125" si="54">O125</f>
        <v>0</v>
      </c>
      <c r="Q125" s="22">
        <f t="shared" si="54"/>
        <v>0</v>
      </c>
      <c r="R125" s="22">
        <f t="shared" si="54"/>
        <v>0</v>
      </c>
      <c r="S125" s="22">
        <f t="shared" si="54"/>
        <v>0</v>
      </c>
      <c r="T125" s="22">
        <f t="shared" si="54"/>
        <v>0</v>
      </c>
      <c r="U125" s="22">
        <f t="shared" si="54"/>
        <v>0</v>
      </c>
      <c r="V125" s="22">
        <f t="shared" si="54"/>
        <v>0</v>
      </c>
      <c r="W125" s="22">
        <f t="shared" si="54"/>
        <v>0</v>
      </c>
      <c r="X125" s="22">
        <f t="shared" si="54"/>
        <v>0</v>
      </c>
      <c r="Y125" s="22">
        <f t="shared" si="54"/>
        <v>0</v>
      </c>
      <c r="Z125" s="22">
        <f t="shared" si="54"/>
        <v>0</v>
      </c>
      <c r="AA125" s="22">
        <f t="shared" si="54"/>
        <v>0</v>
      </c>
      <c r="AB125" s="22">
        <f t="shared" si="54"/>
        <v>0</v>
      </c>
      <c r="AC125" s="22">
        <f t="shared" si="54"/>
        <v>0</v>
      </c>
      <c r="AD125" s="22">
        <f t="shared" si="54"/>
        <v>0</v>
      </c>
      <c r="AE125" s="22">
        <f t="shared" si="54"/>
        <v>0</v>
      </c>
      <c r="AF125" s="22">
        <f t="shared" si="54"/>
        <v>0</v>
      </c>
      <c r="AG125" s="22">
        <f t="shared" si="54"/>
        <v>0</v>
      </c>
      <c r="AH125" s="22">
        <f t="shared" si="54"/>
        <v>0</v>
      </c>
      <c r="AI125" s="22">
        <f t="shared" si="54"/>
        <v>0</v>
      </c>
      <c r="AJ125" s="22">
        <f t="shared" si="54"/>
        <v>0</v>
      </c>
      <c r="AK125" s="22">
        <f t="shared" si="54"/>
        <v>0</v>
      </c>
      <c r="AL125" s="22">
        <f t="shared" si="54"/>
        <v>0</v>
      </c>
      <c r="AM125" s="22">
        <f t="shared" si="54"/>
        <v>0</v>
      </c>
      <c r="AN125" s="22">
        <f t="shared" si="54"/>
        <v>0</v>
      </c>
      <c r="AO125" s="22">
        <f t="shared" si="54"/>
        <v>0</v>
      </c>
      <c r="AP125" s="22">
        <f t="shared" si="54"/>
        <v>0</v>
      </c>
      <c r="AQ125" s="22">
        <f t="shared" si="54"/>
        <v>0</v>
      </c>
      <c r="AR125" s="22">
        <f t="shared" si="54"/>
        <v>0</v>
      </c>
      <c r="AS125" s="22">
        <f t="shared" si="54"/>
        <v>0</v>
      </c>
      <c r="AT125" s="22">
        <f t="shared" si="54"/>
        <v>0</v>
      </c>
      <c r="AU125" s="22">
        <f t="shared" si="54"/>
        <v>0</v>
      </c>
      <c r="AV125" s="22">
        <f t="shared" si="54"/>
        <v>0</v>
      </c>
      <c r="AW125" s="22">
        <f t="shared" si="54"/>
        <v>0</v>
      </c>
      <c r="AX125" s="22">
        <f t="shared" si="54"/>
        <v>0</v>
      </c>
      <c r="AY125" s="22">
        <f t="shared" si="54"/>
        <v>0</v>
      </c>
    </row>
    <row r="126" spans="2:51" x14ac:dyDescent="0.35">
      <c r="B126" t="s">
        <v>187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>
        <f>Предпосылки!$C$89*O29</f>
        <v>202.9</v>
      </c>
      <c r="P126" s="22">
        <f>Предпосылки!$C$89*P29</f>
        <v>208.23850000000004</v>
      </c>
      <c r="Q126" s="22">
        <f>Предпосылки!$C$89*Q29</f>
        <v>213.88207749999998</v>
      </c>
      <c r="R126" s="22">
        <f>Предпосылки!$C$89*R29</f>
        <v>219.83530866249998</v>
      </c>
      <c r="S126" s="22">
        <f>Предпосылки!$C$89*S29</f>
        <v>226.1028382924375</v>
      </c>
      <c r="T126" s="22">
        <f>Предпосылки!$C$89*T29</f>
        <v>232.68938086682408</v>
      </c>
      <c r="U126" s="22">
        <f>Предпосылки!$C$89*U29</f>
        <v>124.13029112210248</v>
      </c>
      <c r="V126" s="22">
        <f>Предпосылки!$C$89*V29</f>
        <v>126.18724528162761</v>
      </c>
      <c r="W126" s="22">
        <f>Предпосылки!$C$89*W29</f>
        <v>128.33411625354566</v>
      </c>
      <c r="X126" s="22">
        <f>Предпосылки!$C$89*X29</f>
        <v>264.97496045318337</v>
      </c>
      <c r="Y126" s="22">
        <f>Предпосылки!$C$89*Y29</f>
        <v>272.0675393184668</v>
      </c>
      <c r="Z126" s="22">
        <f>Предпосылки!$C$89*Z29</f>
        <v>277.95138186672949</v>
      </c>
      <c r="AA126" s="22">
        <f>Предпосылки!$C$89*AA29</f>
        <v>282.63198205321612</v>
      </c>
      <c r="AB126" s="22">
        <f>Предпосылки!$C$89*AB29</f>
        <v>287.38279124249999</v>
      </c>
      <c r="AC126" s="22">
        <f>Предпосылки!$C$89*AC29</f>
        <v>292.20486256962312</v>
      </c>
      <c r="AD126" s="22">
        <f>Предпосылки!$C$89*AD29</f>
        <v>297.09926496665327</v>
      </c>
      <c r="AE126" s="22">
        <f>Предпосылки!$C$89*AE29</f>
        <v>302.06708339963876</v>
      </c>
      <c r="AF126" s="22">
        <f>Предпосылки!$C$89*AF29</f>
        <v>307.10941910911902</v>
      </c>
      <c r="AG126" s="22">
        <f>Предпосылки!$C$89*AG29</f>
        <v>162.76974814250002</v>
      </c>
      <c r="AH126" s="22">
        <f>Предпосылки!$C$89*AH29</f>
        <v>164.33011079936577</v>
      </c>
      <c r="AI126" s="22">
        <f>Предпосылки!$C$89*AI29</f>
        <v>165.91387889608447</v>
      </c>
      <c r="AJ126" s="22">
        <f>Предпосылки!$C$89*AJ29</f>
        <v>337.44709669082886</v>
      </c>
      <c r="AK126" s="22">
        <f>Предпосылки!$C$89*AK29</f>
        <v>343.15072567296897</v>
      </c>
      <c r="AL126" s="22">
        <f>Предпосылки!$C$89*AL29</f>
        <v>348.93990908984097</v>
      </c>
      <c r="AM126" s="22">
        <f>Предпосылки!$C$89*AM29</f>
        <v>354.81593025796604</v>
      </c>
      <c r="AN126" s="22">
        <f>Предпосылки!$C$89*AN29</f>
        <v>360.78009174361313</v>
      </c>
      <c r="AO126" s="22">
        <f>Предпосылки!$C$89*AO29</f>
        <v>366.83371565154482</v>
      </c>
      <c r="AP126" s="22">
        <f>Предпосылки!$C$89*AP29</f>
        <v>372.9781439180955</v>
      </c>
      <c r="AQ126" s="22">
        <f>Предпосылки!$C$89*AQ29</f>
        <v>379.21473860864444</v>
      </c>
      <c r="AR126" s="22">
        <f>Предпосылки!$C$89*AR29</f>
        <v>385.54488221955165</v>
      </c>
      <c r="AS126" s="22">
        <f>Предпосылки!$C$89*AS29</f>
        <v>204.3409920755598</v>
      </c>
      <c r="AT126" s="22">
        <f>Предпосылки!$C$89*AT29</f>
        <v>206.29986991950938</v>
      </c>
      <c r="AU126" s="22">
        <f>Предпосылки!$C$89*AU29</f>
        <v>208.28813093111822</v>
      </c>
      <c r="AV126" s="22">
        <f>Предпосылки!$C$89*AV29</f>
        <v>423.63077474601698</v>
      </c>
      <c r="AW126" s="22">
        <f>Предпосылки!$C$89*AW29</f>
        <v>430.79110532305424</v>
      </c>
      <c r="AX126" s="22">
        <f>Предпосылки!$C$89*AX29</f>
        <v>438.05884085874709</v>
      </c>
      <c r="AY126" s="22">
        <f>Предпосылки!$C$89*AY29</f>
        <v>445.43559242747529</v>
      </c>
    </row>
    <row r="128" spans="2:51" x14ac:dyDescent="0.35">
      <c r="B128" s="29" t="s">
        <v>188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>
        <f t="shared" ref="O128:AY128" si="55">O110-O118</f>
        <v>0</v>
      </c>
      <c r="P128" s="29">
        <f t="shared" si="55"/>
        <v>0</v>
      </c>
      <c r="Q128" s="29">
        <f t="shared" si="55"/>
        <v>0</v>
      </c>
      <c r="R128" s="29">
        <f t="shared" si="55"/>
        <v>0</v>
      </c>
      <c r="S128" s="29">
        <f t="shared" si="55"/>
        <v>0</v>
      </c>
      <c r="T128" s="29">
        <f t="shared" si="55"/>
        <v>0</v>
      </c>
      <c r="U128" s="29">
        <f t="shared" si="55"/>
        <v>0</v>
      </c>
      <c r="V128" s="29">
        <f t="shared" si="55"/>
        <v>0</v>
      </c>
      <c r="W128" s="29">
        <f t="shared" si="55"/>
        <v>0</v>
      </c>
      <c r="X128" s="29">
        <f t="shared" si="55"/>
        <v>0</v>
      </c>
      <c r="Y128" s="29">
        <f t="shared" si="55"/>
        <v>0</v>
      </c>
      <c r="Z128" s="29">
        <f t="shared" si="55"/>
        <v>0</v>
      </c>
      <c r="AA128" s="29">
        <f t="shared" si="55"/>
        <v>0</v>
      </c>
      <c r="AB128" s="29">
        <f t="shared" si="55"/>
        <v>0</v>
      </c>
      <c r="AC128" s="29">
        <f t="shared" si="55"/>
        <v>0</v>
      </c>
      <c r="AD128" s="29">
        <f t="shared" si="55"/>
        <v>0</v>
      </c>
      <c r="AE128" s="29">
        <f t="shared" si="55"/>
        <v>0</v>
      </c>
      <c r="AF128" s="29">
        <f t="shared" si="55"/>
        <v>0</v>
      </c>
      <c r="AG128" s="29">
        <f t="shared" si="55"/>
        <v>0</v>
      </c>
      <c r="AH128" s="29">
        <f t="shared" si="55"/>
        <v>0</v>
      </c>
      <c r="AI128" s="29">
        <f t="shared" si="55"/>
        <v>0</v>
      </c>
      <c r="AJ128" s="29">
        <f t="shared" si="55"/>
        <v>0</v>
      </c>
      <c r="AK128" s="29">
        <f t="shared" si="55"/>
        <v>0</v>
      </c>
      <c r="AL128" s="29">
        <f t="shared" si="55"/>
        <v>0</v>
      </c>
      <c r="AM128" s="29">
        <f t="shared" si="55"/>
        <v>0</v>
      </c>
      <c r="AN128" s="29">
        <f t="shared" si="55"/>
        <v>0</v>
      </c>
      <c r="AO128" s="29">
        <f t="shared" si="55"/>
        <v>0</v>
      </c>
      <c r="AP128" s="29">
        <f t="shared" si="55"/>
        <v>0</v>
      </c>
      <c r="AQ128" s="29">
        <f t="shared" si="55"/>
        <v>0</v>
      </c>
      <c r="AR128" s="29">
        <f t="shared" si="55"/>
        <v>0</v>
      </c>
      <c r="AS128" s="29">
        <f t="shared" si="55"/>
        <v>0</v>
      </c>
      <c r="AT128" s="29">
        <f t="shared" si="55"/>
        <v>0</v>
      </c>
      <c r="AU128" s="29">
        <f t="shared" si="55"/>
        <v>0</v>
      </c>
      <c r="AV128" s="29">
        <f t="shared" si="55"/>
        <v>0</v>
      </c>
      <c r="AW128" s="29">
        <f t="shared" si="55"/>
        <v>0</v>
      </c>
      <c r="AX128" s="29">
        <f t="shared" si="55"/>
        <v>0</v>
      </c>
      <c r="AY128" s="29">
        <f t="shared" si="55"/>
        <v>0</v>
      </c>
    </row>
    <row r="130" spans="2:51" x14ac:dyDescent="0.35">
      <c r="B130" s="20" t="s">
        <v>189</v>
      </c>
      <c r="C130" s="20" t="s">
        <v>14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</row>
    <row r="131" spans="2:51" x14ac:dyDescent="0.35">
      <c r="B131" t="s">
        <v>190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</row>
    <row r="132" spans="2:51" x14ac:dyDescent="0.35">
      <c r="B132" t="s">
        <v>191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>
        <f t="shared" ref="P132:AY132" si="56">P29-(P115-O115)</f>
        <v>2077.0465000000004</v>
      </c>
      <c r="Q132" s="22">
        <f t="shared" si="56"/>
        <v>2133.1771974999997</v>
      </c>
      <c r="R132" s="22">
        <f t="shared" si="56"/>
        <v>2192.3998554625</v>
      </c>
      <c r="S132" s="22">
        <f t="shared" si="56"/>
        <v>2254.7608532944373</v>
      </c>
      <c r="T132" s="22">
        <f t="shared" si="56"/>
        <v>2320.3072660938542</v>
      </c>
      <c r="U132" s="22">
        <f t="shared" si="56"/>
        <v>1349.8620009657463</v>
      </c>
      <c r="V132" s="22">
        <f t="shared" si="56"/>
        <v>1259.8154986567511</v>
      </c>
      <c r="W132" s="22">
        <f t="shared" si="56"/>
        <v>1281.1942915635384</v>
      </c>
      <c r="X132" s="22">
        <f t="shared" si="56"/>
        <v>2513.1087603321957</v>
      </c>
      <c r="Y132" s="22">
        <f t="shared" si="56"/>
        <v>2713.5828143193844</v>
      </c>
      <c r="Z132" s="22">
        <f t="shared" si="56"/>
        <v>2773.6299761190321</v>
      </c>
      <c r="AA132" s="22">
        <f t="shared" si="56"/>
        <v>2821.6392203456744</v>
      </c>
      <c r="AB132" s="22">
        <f t="shared" si="56"/>
        <v>2869.0771032357161</v>
      </c>
      <c r="AC132" s="22">
        <f t="shared" si="56"/>
        <v>2917.2265543691083</v>
      </c>
      <c r="AD132" s="22">
        <f t="shared" si="56"/>
        <v>2966.0982472695023</v>
      </c>
      <c r="AE132" s="22">
        <f t="shared" si="56"/>
        <v>3015.703015563402</v>
      </c>
      <c r="AF132" s="22">
        <f t="shared" si="56"/>
        <v>3066.0518553817096</v>
      </c>
      <c r="AG132" s="22">
        <f t="shared" si="56"/>
        <v>1772.037152391619</v>
      </c>
      <c r="AH132" s="22">
        <f t="shared" si="56"/>
        <v>1641.7407453367919</v>
      </c>
      <c r="AI132" s="22">
        <f t="shared" si="56"/>
        <v>1657.5550208641257</v>
      </c>
      <c r="AJ132" s="22">
        <f t="shared" si="56"/>
        <v>3202.9377491135442</v>
      </c>
      <c r="AK132" s="22">
        <f t="shared" si="56"/>
        <v>3425.8036277475494</v>
      </c>
      <c r="AL132" s="22">
        <f t="shared" si="56"/>
        <v>3483.6099074815374</v>
      </c>
      <c r="AM132" s="22">
        <f t="shared" si="56"/>
        <v>3542.283281411535</v>
      </c>
      <c r="AN132" s="22">
        <f t="shared" si="56"/>
        <v>3601.8367559504841</v>
      </c>
      <c r="AO132" s="22">
        <f t="shared" si="56"/>
        <v>3662.2835326075165</v>
      </c>
      <c r="AP132" s="22">
        <f t="shared" si="56"/>
        <v>3723.6370109144041</v>
      </c>
      <c r="AQ132" s="22">
        <f t="shared" si="56"/>
        <v>3785.9107913958956</v>
      </c>
      <c r="AR132" s="22">
        <f t="shared" si="56"/>
        <v>3849.1186785846089</v>
      </c>
      <c r="AS132" s="22">
        <f t="shared" si="56"/>
        <v>2224.6138108995897</v>
      </c>
      <c r="AT132" s="22">
        <f t="shared" si="56"/>
        <v>2061.0398213511439</v>
      </c>
      <c r="AU132" s="22">
        <f t="shared" si="56"/>
        <v>2080.8930482995734</v>
      </c>
      <c r="AV132" s="22">
        <f t="shared" si="56"/>
        <v>4020.965103645271</v>
      </c>
      <c r="AW132" s="22">
        <f t="shared" si="56"/>
        <v>4300.7507226535054</v>
      </c>
      <c r="AX132" s="22">
        <f t="shared" si="56"/>
        <v>4373.3206730517777</v>
      </c>
      <c r="AY132" s="22">
        <f t="shared" si="56"/>
        <v>4446.9791727060237</v>
      </c>
    </row>
    <row r="133" spans="2:51" x14ac:dyDescent="0.35">
      <c r="B133" t="s">
        <v>192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>
        <f t="shared" ref="P133:AY133" si="57">-(P56+P60+P64)+0</f>
        <v>-421.9975</v>
      </c>
      <c r="Q133" s="22">
        <f t="shared" si="57"/>
        <v>-433.00169981249985</v>
      </c>
      <c r="R133" s="22">
        <f t="shared" si="57"/>
        <v>-444.46672756123576</v>
      </c>
      <c r="S133" s="22">
        <f t="shared" si="57"/>
        <v>-456.40417023827752</v>
      </c>
      <c r="T133" s="22">
        <f t="shared" si="57"/>
        <v>-468.82586480530773</v>
      </c>
      <c r="U133" s="22">
        <f t="shared" si="57"/>
        <v>-239.25150523938086</v>
      </c>
      <c r="V133" s="22">
        <f t="shared" si="57"/>
        <v>-244.24583482680228</v>
      </c>
      <c r="W133" s="22">
        <f t="shared" si="57"/>
        <v>-249.39963088736783</v>
      </c>
      <c r="X133" s="22">
        <f t="shared" si="57"/>
        <v>-513.22991764309199</v>
      </c>
      <c r="Y133" s="22">
        <f t="shared" si="57"/>
        <v>-526.63881924303678</v>
      </c>
      <c r="Z133" s="22">
        <f t="shared" si="57"/>
        <v>-539.01588058223558</v>
      </c>
      <c r="AA133" s="22">
        <f t="shared" si="57"/>
        <v>-550.35106848881094</v>
      </c>
      <c r="AB133" s="22">
        <f t="shared" si="57"/>
        <v>-561.91638251313032</v>
      </c>
      <c r="AC133" s="22">
        <f t="shared" si="57"/>
        <v>-573.71645529810996</v>
      </c>
      <c r="AD133" s="22">
        <f t="shared" si="57"/>
        <v>-585.75601255127822</v>
      </c>
      <c r="AE133" s="22">
        <f t="shared" si="57"/>
        <v>-598.0398749133692</v>
      </c>
      <c r="AF133" s="22">
        <f t="shared" si="57"/>
        <v>-610.57295986442955</v>
      </c>
      <c r="AG133" s="22">
        <f t="shared" si="57"/>
        <v>-310.54512286853924</v>
      </c>
      <c r="AH133" s="22">
        <f t="shared" si="57"/>
        <v>-315.90498314606879</v>
      </c>
      <c r="AI133" s="22">
        <f t="shared" si="57"/>
        <v>-321.36807095334939</v>
      </c>
      <c r="AJ133" s="22">
        <f t="shared" si="57"/>
        <v>-656.28238729448481</v>
      </c>
      <c r="AK133" s="22">
        <f t="shared" si="57"/>
        <v>-670.10379014512569</v>
      </c>
      <c r="AL133" s="22">
        <f t="shared" si="57"/>
        <v>-684.20589032762155</v>
      </c>
      <c r="AM133" s="22">
        <f t="shared" si="57"/>
        <v>-698.59433900425768</v>
      </c>
      <c r="AN133" s="22">
        <f t="shared" si="57"/>
        <v>-713.2749008652188</v>
      </c>
      <c r="AO133" s="22">
        <f t="shared" si="57"/>
        <v>-728.25345640806609</v>
      </c>
      <c r="AP133" s="22">
        <f t="shared" si="57"/>
        <v>-743.53600426297589</v>
      </c>
      <c r="AQ133" s="22">
        <f t="shared" si="57"/>
        <v>-759.12866356466066</v>
      </c>
      <c r="AR133" s="22">
        <f t="shared" si="57"/>
        <v>-775.0376763719072</v>
      </c>
      <c r="AS133" s="22">
        <f t="shared" si="57"/>
        <v>-394.19395593624404</v>
      </c>
      <c r="AT133" s="22">
        <f t="shared" si="57"/>
        <v>-400.99755506074007</v>
      </c>
      <c r="AU133" s="22">
        <f t="shared" si="57"/>
        <v>-407.93218721495566</v>
      </c>
      <c r="AV133" s="22">
        <f t="shared" si="57"/>
        <v>-833.05945387012184</v>
      </c>
      <c r="AW133" s="22">
        <f t="shared" si="57"/>
        <v>-850.60380754071218</v>
      </c>
      <c r="AX133" s="22">
        <f t="shared" si="57"/>
        <v>-868.50446753691017</v>
      </c>
      <c r="AY133" s="22">
        <f t="shared" si="57"/>
        <v>-886.76860722533127</v>
      </c>
    </row>
    <row r="134" spans="2:51" x14ac:dyDescent="0.35">
      <c r="B134" t="s">
        <v>193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>
        <f t="shared" ref="P134:AY134" si="58">-(P68+P70+P86)+0</f>
        <v>-1552.8275862068967</v>
      </c>
      <c r="Q134" s="22">
        <f t="shared" si="58"/>
        <v>-1552.8275862068967</v>
      </c>
      <c r="R134" s="22">
        <f t="shared" si="58"/>
        <v>-1552.8275862068967</v>
      </c>
      <c r="S134" s="22">
        <f t="shared" si="58"/>
        <v>-1552.8275862068967</v>
      </c>
      <c r="T134" s="22">
        <f t="shared" si="58"/>
        <v>-1552.8275862068967</v>
      </c>
      <c r="U134" s="22">
        <f t="shared" si="58"/>
        <v>-1552.8275862068967</v>
      </c>
      <c r="V134" s="22">
        <f t="shared" si="58"/>
        <v>-1552.8275862068967</v>
      </c>
      <c r="W134" s="22">
        <f t="shared" si="58"/>
        <v>-1552.8275862068967</v>
      </c>
      <c r="X134" s="22">
        <f t="shared" si="58"/>
        <v>-1552.8275862068967</v>
      </c>
      <c r="Y134" s="22">
        <f t="shared" si="58"/>
        <v>-1552.8275862068967</v>
      </c>
      <c r="Z134" s="22">
        <f t="shared" si="58"/>
        <v>-1552.8275862068967</v>
      </c>
      <c r="AA134" s="22">
        <f t="shared" si="58"/>
        <v>-1552.8275862068967</v>
      </c>
      <c r="AB134" s="22">
        <f t="shared" si="58"/>
        <v>-1630.4689655172413</v>
      </c>
      <c r="AC134" s="22">
        <f t="shared" si="58"/>
        <v>-1630.4689655172413</v>
      </c>
      <c r="AD134" s="22">
        <f t="shared" si="58"/>
        <v>-1630.4689655172413</v>
      </c>
      <c r="AE134" s="22">
        <f t="shared" si="58"/>
        <v>-1630.4689655172413</v>
      </c>
      <c r="AF134" s="22">
        <f t="shared" si="58"/>
        <v>-1630.4689655172413</v>
      </c>
      <c r="AG134" s="22">
        <f t="shared" si="58"/>
        <v>-1630.4689655172413</v>
      </c>
      <c r="AH134" s="22">
        <f t="shared" si="58"/>
        <v>-1630.4689655172413</v>
      </c>
      <c r="AI134" s="22">
        <f t="shared" si="58"/>
        <v>-1630.4689655172413</v>
      </c>
      <c r="AJ134" s="22">
        <f t="shared" si="58"/>
        <v>-1630.4689655172413</v>
      </c>
      <c r="AK134" s="22">
        <f t="shared" si="58"/>
        <v>-1630.4689655172413</v>
      </c>
      <c r="AL134" s="22">
        <f t="shared" si="58"/>
        <v>-1630.4689655172413</v>
      </c>
      <c r="AM134" s="22">
        <f t="shared" si="58"/>
        <v>-1630.4689655172413</v>
      </c>
      <c r="AN134" s="22">
        <f t="shared" si="58"/>
        <v>-1711.9924137931034</v>
      </c>
      <c r="AO134" s="22">
        <f t="shared" si="58"/>
        <v>-1711.9924137931034</v>
      </c>
      <c r="AP134" s="22">
        <f t="shared" si="58"/>
        <v>-1711.9924137931034</v>
      </c>
      <c r="AQ134" s="22">
        <f t="shared" si="58"/>
        <v>-1711.9924137931034</v>
      </c>
      <c r="AR134" s="22">
        <f t="shared" si="58"/>
        <v>-1711.9924137931034</v>
      </c>
      <c r="AS134" s="22">
        <f t="shared" si="58"/>
        <v>-1711.9924137931034</v>
      </c>
      <c r="AT134" s="22">
        <f t="shared" si="58"/>
        <v>-1711.9924137931034</v>
      </c>
      <c r="AU134" s="22">
        <f t="shared" si="58"/>
        <v>-1711.9924137931034</v>
      </c>
      <c r="AV134" s="22">
        <f t="shared" si="58"/>
        <v>-1711.9924137931034</v>
      </c>
      <c r="AW134" s="22">
        <f t="shared" si="58"/>
        <v>-1711.9924137931034</v>
      </c>
      <c r="AX134" s="22">
        <f t="shared" si="58"/>
        <v>-1711.9924137931034</v>
      </c>
      <c r="AY134" s="22">
        <f t="shared" si="58"/>
        <v>-1711.9924137931034</v>
      </c>
    </row>
    <row r="135" spans="2:51" x14ac:dyDescent="0.35">
      <c r="B135" t="s">
        <v>194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>
        <f t="shared" ref="P135:AY135" si="59">P126-O126</f>
        <v>5.3385000000000389</v>
      </c>
      <c r="Q135" s="22">
        <f t="shared" si="59"/>
        <v>5.6435774999999353</v>
      </c>
      <c r="R135" s="22">
        <f t="shared" si="59"/>
        <v>5.9532311625000034</v>
      </c>
      <c r="S135" s="22">
        <f t="shared" si="59"/>
        <v>6.2675296299375134</v>
      </c>
      <c r="T135" s="22">
        <f t="shared" si="59"/>
        <v>6.5865425743865842</v>
      </c>
      <c r="U135" s="22">
        <f t="shared" si="59"/>
        <v>-108.5590897447216</v>
      </c>
      <c r="V135" s="22">
        <f t="shared" si="59"/>
        <v>2.0569541595251337</v>
      </c>
      <c r="W135" s="22">
        <f t="shared" si="59"/>
        <v>2.1468709719180481</v>
      </c>
      <c r="X135" s="22">
        <f t="shared" si="59"/>
        <v>136.64084419963771</v>
      </c>
      <c r="Y135" s="22">
        <f t="shared" si="59"/>
        <v>7.0925788652834285</v>
      </c>
      <c r="Z135" s="22">
        <f t="shared" si="59"/>
        <v>5.8838425482626917</v>
      </c>
      <c r="AA135" s="22">
        <f t="shared" si="59"/>
        <v>4.6806001864866289</v>
      </c>
      <c r="AB135" s="22">
        <f t="shared" si="59"/>
        <v>4.7508091892838706</v>
      </c>
      <c r="AC135" s="22">
        <f t="shared" si="59"/>
        <v>4.8220713271231261</v>
      </c>
      <c r="AD135" s="22">
        <f t="shared" si="59"/>
        <v>4.8944023970301487</v>
      </c>
      <c r="AE135" s="22">
        <f t="shared" si="59"/>
        <v>4.9678184329854957</v>
      </c>
      <c r="AF135" s="22">
        <f t="shared" si="59"/>
        <v>5.0423357094802554</v>
      </c>
      <c r="AG135" s="22">
        <f t="shared" si="59"/>
        <v>-144.339670966619</v>
      </c>
      <c r="AH135" s="22">
        <f t="shared" si="59"/>
        <v>1.5603626568657489</v>
      </c>
      <c r="AI135" s="22">
        <f t="shared" si="59"/>
        <v>1.5837680967186998</v>
      </c>
      <c r="AJ135" s="22">
        <f t="shared" si="59"/>
        <v>171.53321779474439</v>
      </c>
      <c r="AK135" s="22">
        <f t="shared" si="59"/>
        <v>5.7036289821401169</v>
      </c>
      <c r="AL135" s="22">
        <f t="shared" si="59"/>
        <v>5.7891834168719924</v>
      </c>
      <c r="AM135" s="22">
        <f t="shared" si="59"/>
        <v>5.876021168125078</v>
      </c>
      <c r="AN135" s="22">
        <f t="shared" si="59"/>
        <v>5.9641614856470824</v>
      </c>
      <c r="AO135" s="22">
        <f t="shared" si="59"/>
        <v>6.0536239079316942</v>
      </c>
      <c r="AP135" s="22">
        <f t="shared" si="59"/>
        <v>6.1444282665506762</v>
      </c>
      <c r="AQ135" s="22">
        <f t="shared" si="59"/>
        <v>6.2365946905489409</v>
      </c>
      <c r="AR135" s="22">
        <f t="shared" si="59"/>
        <v>6.3301436109072142</v>
      </c>
      <c r="AS135" s="22">
        <f t="shared" si="59"/>
        <v>-181.20389014399186</v>
      </c>
      <c r="AT135" s="22">
        <f t="shared" si="59"/>
        <v>1.9588778439495798</v>
      </c>
      <c r="AU135" s="22">
        <f t="shared" si="59"/>
        <v>1.9882610116088415</v>
      </c>
      <c r="AV135" s="22">
        <f t="shared" si="59"/>
        <v>215.34264381489876</v>
      </c>
      <c r="AW135" s="22">
        <f t="shared" si="59"/>
        <v>7.1603305770372572</v>
      </c>
      <c r="AX135" s="22">
        <f t="shared" si="59"/>
        <v>7.2677355356928501</v>
      </c>
      <c r="AY135" s="22">
        <f t="shared" si="59"/>
        <v>7.3767515687281957</v>
      </c>
    </row>
    <row r="136" spans="2:51" x14ac:dyDescent="0.35">
      <c r="B136" t="s">
        <v>195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>
        <f t="shared" ref="P136:AY136" si="60">P46</f>
        <v>-30</v>
      </c>
      <c r="Q136" s="22">
        <f t="shared" si="60"/>
        <v>-30</v>
      </c>
      <c r="R136" s="22">
        <f t="shared" si="60"/>
        <v>-30</v>
      </c>
      <c r="S136" s="22">
        <f t="shared" si="60"/>
        <v>-30</v>
      </c>
      <c r="T136" s="22">
        <f t="shared" si="60"/>
        <v>-30</v>
      </c>
      <c r="U136" s="22">
        <f t="shared" si="60"/>
        <v>-30</v>
      </c>
      <c r="V136" s="22">
        <f t="shared" si="60"/>
        <v>-30</v>
      </c>
      <c r="W136" s="22">
        <f t="shared" si="60"/>
        <v>-30</v>
      </c>
      <c r="X136" s="22">
        <f t="shared" si="60"/>
        <v>-30</v>
      </c>
      <c r="Y136" s="22">
        <f t="shared" si="60"/>
        <v>-30</v>
      </c>
      <c r="Z136" s="22">
        <f t="shared" si="60"/>
        <v>-30</v>
      </c>
      <c r="AA136" s="22">
        <f t="shared" si="60"/>
        <v>-30</v>
      </c>
      <c r="AB136" s="22">
        <f t="shared" si="60"/>
        <v>-30</v>
      </c>
      <c r="AC136" s="22">
        <f t="shared" si="60"/>
        <v>-30</v>
      </c>
      <c r="AD136" s="22">
        <f t="shared" si="60"/>
        <v>-30</v>
      </c>
      <c r="AE136" s="22">
        <f t="shared" si="60"/>
        <v>-30</v>
      </c>
      <c r="AF136" s="22">
        <f t="shared" si="60"/>
        <v>-30</v>
      </c>
      <c r="AG136" s="22">
        <f t="shared" si="60"/>
        <v>-30</v>
      </c>
      <c r="AH136" s="22">
        <f t="shared" si="60"/>
        <v>-30</v>
      </c>
      <c r="AI136" s="22">
        <f t="shared" si="60"/>
        <v>-30</v>
      </c>
      <c r="AJ136" s="22">
        <f t="shared" si="60"/>
        <v>-30</v>
      </c>
      <c r="AK136" s="22">
        <f t="shared" si="60"/>
        <v>-30</v>
      </c>
      <c r="AL136" s="22">
        <f t="shared" si="60"/>
        <v>-30</v>
      </c>
      <c r="AM136" s="22">
        <f t="shared" si="60"/>
        <v>-30</v>
      </c>
      <c r="AN136" s="22">
        <f t="shared" si="60"/>
        <v>-30</v>
      </c>
      <c r="AO136" s="22">
        <f t="shared" si="60"/>
        <v>-30</v>
      </c>
      <c r="AP136" s="22">
        <f t="shared" si="60"/>
        <v>-30</v>
      </c>
      <c r="AQ136" s="22">
        <f t="shared" si="60"/>
        <v>-30</v>
      </c>
      <c r="AR136" s="22">
        <f t="shared" si="60"/>
        <v>-30</v>
      </c>
      <c r="AS136" s="22">
        <f t="shared" si="60"/>
        <v>-30</v>
      </c>
      <c r="AT136" s="22">
        <f t="shared" si="60"/>
        <v>-30</v>
      </c>
      <c r="AU136" s="22">
        <f t="shared" si="60"/>
        <v>-30</v>
      </c>
      <c r="AV136" s="22">
        <f t="shared" si="60"/>
        <v>-30</v>
      </c>
      <c r="AW136" s="22">
        <f t="shared" si="60"/>
        <v>-30</v>
      </c>
      <c r="AX136" s="22">
        <f t="shared" si="60"/>
        <v>-30</v>
      </c>
      <c r="AY136" s="22">
        <f t="shared" si="60"/>
        <v>-30</v>
      </c>
    </row>
    <row r="137" spans="2:51" x14ac:dyDescent="0.35">
      <c r="B137" t="s">
        <v>196</v>
      </c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>
        <f t="shared" ref="P137:AY137" si="61">-(P103)+0</f>
        <v>-175.06458333333319</v>
      </c>
      <c r="Q137" s="22">
        <f t="shared" si="61"/>
        <v>-182.63651253124991</v>
      </c>
      <c r="R137" s="22">
        <f t="shared" si="61"/>
        <v>-190.64772651062736</v>
      </c>
      <c r="S137" s="22">
        <f t="shared" si="61"/>
        <v>-199.10403544768283</v>
      </c>
      <c r="T137" s="22">
        <f t="shared" si="61"/>
        <v>-208.01132397715543</v>
      </c>
      <c r="U137" s="22">
        <f t="shared" si="61"/>
        <v>-65.341900996940666</v>
      </c>
      <c r="V137" s="22">
        <f t="shared" si="61"/>
        <v>-67.93776966491231</v>
      </c>
      <c r="W137" s="22">
        <f t="shared" si="61"/>
        <v>-70.656921941348145</v>
      </c>
      <c r="X137" s="22">
        <f t="shared" si="61"/>
        <v>-254.41994781479022</v>
      </c>
      <c r="Y137" s="22">
        <f t="shared" si="61"/>
        <v>-264.00609565693856</v>
      </c>
      <c r="Z137" s="22">
        <f t="shared" si="61"/>
        <v>-271.74965634750959</v>
      </c>
      <c r="AA137" s="22">
        <f t="shared" si="61"/>
        <v>-277.66145867389145</v>
      </c>
      <c r="AB137" s="22">
        <f t="shared" si="61"/>
        <v>-278.56858831864508</v>
      </c>
      <c r="AC137" s="22">
        <f t="shared" si="61"/>
        <v>-284.63869506635342</v>
      </c>
      <c r="AD137" s="22">
        <f t="shared" si="61"/>
        <v>-290.789439519209</v>
      </c>
      <c r="AE137" s="22">
        <f t="shared" si="61"/>
        <v>-297.02182651383629</v>
      </c>
      <c r="AF137" s="22">
        <f t="shared" si="61"/>
        <v>-303.33687187112656</v>
      </c>
      <c r="AG137" s="22">
        <f t="shared" si="61"/>
        <v>-112.77539309274337</v>
      </c>
      <c r="AH137" s="22">
        <f t="shared" si="61"/>
        <v>-114.48268747459801</v>
      </c>
      <c r="AI137" s="22">
        <f t="shared" si="61"/>
        <v>-116.21178633458248</v>
      </c>
      <c r="AJ137" s="22">
        <f t="shared" si="61"/>
        <v>-346.28142993563404</v>
      </c>
      <c r="AK137" s="22">
        <f t="shared" si="61"/>
        <v>-353.48391109742727</v>
      </c>
      <c r="AL137" s="22">
        <f t="shared" si="61"/>
        <v>-360.78220009513109</v>
      </c>
      <c r="AM137" s="22">
        <f t="shared" si="61"/>
        <v>-368.17749392923383</v>
      </c>
      <c r="AN137" s="22">
        <f t="shared" si="61"/>
        <v>-370.33350276181852</v>
      </c>
      <c r="AO137" s="22">
        <f t="shared" si="61"/>
        <v>-377.92645001789708</v>
      </c>
      <c r="AP137" s="22">
        <f t="shared" si="61"/>
        <v>-385.62007248632995</v>
      </c>
      <c r="AQ137" s="22">
        <f t="shared" si="61"/>
        <v>-393.41562042029716</v>
      </c>
      <c r="AR137" s="22">
        <f t="shared" si="61"/>
        <v>-401.31435763726813</v>
      </c>
      <c r="AS137" s="22">
        <f t="shared" si="61"/>
        <v>-162.78182746989211</v>
      </c>
      <c r="AT137" s="22">
        <f t="shared" si="61"/>
        <v>-164.91269068905885</v>
      </c>
      <c r="AU137" s="22">
        <f t="shared" si="61"/>
        <v>-167.07068701603762</v>
      </c>
      <c r="AV137" s="22">
        <f t="shared" si="61"/>
        <v>-455.12054893167453</v>
      </c>
      <c r="AW137" s="22">
        <f t="shared" si="61"/>
        <v>-464.13037428163807</v>
      </c>
      <c r="AX137" s="22">
        <f t="shared" si="61"/>
        <v>-473.25982350842651</v>
      </c>
      <c r="AY137" s="22">
        <f t="shared" si="61"/>
        <v>-482.51038617490337</v>
      </c>
    </row>
    <row r="138" spans="2:51" x14ac:dyDescent="0.35">
      <c r="B138" t="s">
        <v>197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>
        <f t="shared" ref="P138:AY138" si="62">P48</f>
        <v>0</v>
      </c>
      <c r="Q138" s="22">
        <f t="shared" si="62"/>
        <v>0</v>
      </c>
      <c r="R138" s="22">
        <f t="shared" si="62"/>
        <v>0</v>
      </c>
      <c r="S138" s="22">
        <f t="shared" si="62"/>
        <v>0</v>
      </c>
      <c r="T138" s="22">
        <f t="shared" si="62"/>
        <v>0</v>
      </c>
      <c r="U138" s="22">
        <f t="shared" si="62"/>
        <v>0</v>
      </c>
      <c r="V138" s="22">
        <f t="shared" si="62"/>
        <v>0</v>
      </c>
      <c r="W138" s="22">
        <f t="shared" si="62"/>
        <v>0</v>
      </c>
      <c r="X138" s="22">
        <f t="shared" si="62"/>
        <v>0</v>
      </c>
      <c r="Y138" s="22">
        <f t="shared" si="62"/>
        <v>0</v>
      </c>
      <c r="Z138" s="22">
        <f t="shared" si="62"/>
        <v>0</v>
      </c>
      <c r="AA138" s="22">
        <f t="shared" si="62"/>
        <v>0</v>
      </c>
      <c r="AB138" s="22">
        <f t="shared" si="62"/>
        <v>0</v>
      </c>
      <c r="AC138" s="22">
        <f t="shared" si="62"/>
        <v>0</v>
      </c>
      <c r="AD138" s="22">
        <f t="shared" si="62"/>
        <v>0</v>
      </c>
      <c r="AE138" s="22">
        <f t="shared" si="62"/>
        <v>0</v>
      </c>
      <c r="AF138" s="22">
        <f t="shared" si="62"/>
        <v>0</v>
      </c>
      <c r="AG138" s="22">
        <f t="shared" si="62"/>
        <v>0</v>
      </c>
      <c r="AH138" s="22">
        <f t="shared" si="62"/>
        <v>0</v>
      </c>
      <c r="AI138" s="22">
        <f t="shared" si="62"/>
        <v>0</v>
      </c>
      <c r="AJ138" s="22">
        <f t="shared" si="62"/>
        <v>0</v>
      </c>
      <c r="AK138" s="22">
        <f t="shared" si="62"/>
        <v>0</v>
      </c>
      <c r="AL138" s="22">
        <f t="shared" si="62"/>
        <v>-32.492831181185011</v>
      </c>
      <c r="AM138" s="22">
        <f t="shared" si="62"/>
        <v>-161.78370082578556</v>
      </c>
      <c r="AN138" s="22">
        <f t="shared" si="62"/>
        <v>-155.64002000319803</v>
      </c>
      <c r="AO138" s="22">
        <f t="shared" si="62"/>
        <v>-163.23296725927628</v>
      </c>
      <c r="AP138" s="22">
        <f t="shared" si="62"/>
        <v>-170.92658972770911</v>
      </c>
      <c r="AQ138" s="22">
        <f t="shared" si="62"/>
        <v>-178.72213766167658</v>
      </c>
      <c r="AR138" s="22">
        <f t="shared" si="62"/>
        <v>-186.62087487864744</v>
      </c>
      <c r="AS138" s="22">
        <f t="shared" si="62"/>
        <v>0</v>
      </c>
      <c r="AT138" s="22">
        <f t="shared" si="62"/>
        <v>0</v>
      </c>
      <c r="AU138" s="22">
        <f t="shared" si="62"/>
        <v>0</v>
      </c>
      <c r="AV138" s="22">
        <f t="shared" si="62"/>
        <v>-240.4270661730539</v>
      </c>
      <c r="AW138" s="22">
        <f t="shared" si="62"/>
        <v>-249.43689152301772</v>
      </c>
      <c r="AX138" s="22">
        <f t="shared" si="62"/>
        <v>-258.5663407498061</v>
      </c>
      <c r="AY138" s="22">
        <f t="shared" si="62"/>
        <v>-267.81690341628286</v>
      </c>
    </row>
    <row r="139" spans="2:51" x14ac:dyDescent="0.35">
      <c r="B139" s="1" t="s">
        <v>198</v>
      </c>
      <c r="C139" s="1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>
        <f t="shared" ref="P139:AY139" si="63">SUM(P132:P138)</f>
        <v>-97.504669540229457</v>
      </c>
      <c r="Q139" s="26">
        <f t="shared" si="63"/>
        <v>-59.645023550646755</v>
      </c>
      <c r="R139" s="26">
        <f t="shared" si="63"/>
        <v>-19.588953653759859</v>
      </c>
      <c r="S139" s="26">
        <f t="shared" si="63"/>
        <v>22.69259103151785</v>
      </c>
      <c r="T139" s="26">
        <f t="shared" si="63"/>
        <v>67.229033678880967</v>
      </c>
      <c r="U139" s="26">
        <f t="shared" si="63"/>
        <v>-646.1180812221935</v>
      </c>
      <c r="V139" s="26">
        <f t="shared" si="63"/>
        <v>-633.13873788233514</v>
      </c>
      <c r="W139" s="26">
        <f t="shared" si="63"/>
        <v>-619.54297650015621</v>
      </c>
      <c r="X139" s="26">
        <f t="shared" si="63"/>
        <v>299.2721528670545</v>
      </c>
      <c r="Y139" s="26">
        <f t="shared" si="63"/>
        <v>347.20289207779581</v>
      </c>
      <c r="Z139" s="26">
        <f t="shared" si="63"/>
        <v>385.92069553065278</v>
      </c>
      <c r="AA139" s="26">
        <f t="shared" si="63"/>
        <v>415.47970716256174</v>
      </c>
      <c r="AB139" s="26">
        <f t="shared" si="63"/>
        <v>372.87397607598325</v>
      </c>
      <c r="AC139" s="26">
        <f t="shared" si="63"/>
        <v>403.22450981452687</v>
      </c>
      <c r="AD139" s="26">
        <f t="shared" si="63"/>
        <v>433.97823207880396</v>
      </c>
      <c r="AE139" s="26">
        <f t="shared" si="63"/>
        <v>465.14016705194075</v>
      </c>
      <c r="AF139" s="26">
        <f t="shared" si="63"/>
        <v>496.71539383839234</v>
      </c>
      <c r="AG139" s="26">
        <f t="shared" si="63"/>
        <v>-456.09200005352386</v>
      </c>
      <c r="AH139" s="26">
        <f t="shared" si="63"/>
        <v>-447.5555281442505</v>
      </c>
      <c r="AI139" s="26">
        <f t="shared" si="63"/>
        <v>-438.91003384432872</v>
      </c>
      <c r="AJ139" s="26">
        <f t="shared" si="63"/>
        <v>711.43818416092824</v>
      </c>
      <c r="AK139" s="26">
        <f t="shared" si="63"/>
        <v>747.45058996989553</v>
      </c>
      <c r="AL139" s="26">
        <f t="shared" si="63"/>
        <v>751.44920377723054</v>
      </c>
      <c r="AM139" s="26">
        <f t="shared" si="63"/>
        <v>659.13480330314189</v>
      </c>
      <c r="AN139" s="26">
        <f t="shared" si="63"/>
        <v>626.56008001279213</v>
      </c>
      <c r="AO139" s="26">
        <f t="shared" si="63"/>
        <v>656.93186903710534</v>
      </c>
      <c r="AP139" s="26">
        <f t="shared" si="63"/>
        <v>687.70635891083634</v>
      </c>
      <c r="AQ139" s="26">
        <f t="shared" si="63"/>
        <v>718.88855064670656</v>
      </c>
      <c r="AR139" s="26">
        <f t="shared" si="63"/>
        <v>750.48349951458988</v>
      </c>
      <c r="AS139" s="26">
        <f t="shared" si="63"/>
        <v>-255.55827644364174</v>
      </c>
      <c r="AT139" s="26">
        <f t="shared" si="63"/>
        <v>-244.90396034780883</v>
      </c>
      <c r="AU139" s="26">
        <f t="shared" si="63"/>
        <v>-234.11397871291462</v>
      </c>
      <c r="AV139" s="26">
        <f t="shared" si="63"/>
        <v>965.70826469221583</v>
      </c>
      <c r="AW139" s="26">
        <f t="shared" si="63"/>
        <v>1001.7475660920711</v>
      </c>
      <c r="AX139" s="26">
        <f t="shared" si="63"/>
        <v>1038.2653629992244</v>
      </c>
      <c r="AY139" s="26">
        <f t="shared" si="63"/>
        <v>1075.2676136651307</v>
      </c>
    </row>
    <row r="141" spans="2:51" x14ac:dyDescent="0.35">
      <c r="B141" t="s">
        <v>199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</row>
    <row r="142" spans="2:51" x14ac:dyDescent="0.35">
      <c r="B142" t="s">
        <v>200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>
        <f t="shared" ref="P142:AY142" si="64">-(P96)+0</f>
        <v>0</v>
      </c>
      <c r="Q142" s="22">
        <f t="shared" si="64"/>
        <v>0</v>
      </c>
      <c r="R142" s="22">
        <f t="shared" si="64"/>
        <v>0</v>
      </c>
      <c r="S142" s="22">
        <f t="shared" si="64"/>
        <v>0</v>
      </c>
      <c r="T142" s="22">
        <f t="shared" si="64"/>
        <v>0</v>
      </c>
      <c r="U142" s="22">
        <f t="shared" si="64"/>
        <v>0</v>
      </c>
      <c r="V142" s="22">
        <f t="shared" si="64"/>
        <v>0</v>
      </c>
      <c r="W142" s="22">
        <f t="shared" si="64"/>
        <v>0</v>
      </c>
      <c r="X142" s="22">
        <f t="shared" si="64"/>
        <v>0</v>
      </c>
      <c r="Y142" s="22">
        <f t="shared" si="64"/>
        <v>0</v>
      </c>
      <c r="Z142" s="22">
        <f t="shared" si="64"/>
        <v>0</v>
      </c>
      <c r="AA142" s="22">
        <f t="shared" si="64"/>
        <v>0</v>
      </c>
      <c r="AB142" s="22">
        <f t="shared" si="64"/>
        <v>0</v>
      </c>
      <c r="AC142" s="22">
        <f t="shared" si="64"/>
        <v>0</v>
      </c>
      <c r="AD142" s="22">
        <f t="shared" si="64"/>
        <v>0</v>
      </c>
      <c r="AE142" s="22">
        <f t="shared" si="64"/>
        <v>0</v>
      </c>
      <c r="AF142" s="22">
        <f t="shared" si="64"/>
        <v>0</v>
      </c>
      <c r="AG142" s="22">
        <f t="shared" si="64"/>
        <v>0</v>
      </c>
      <c r="AH142" s="22">
        <f t="shared" si="64"/>
        <v>0</v>
      </c>
      <c r="AI142" s="22">
        <f t="shared" si="64"/>
        <v>0</v>
      </c>
      <c r="AJ142" s="22">
        <f t="shared" si="64"/>
        <v>0</v>
      </c>
      <c r="AK142" s="22">
        <f t="shared" si="64"/>
        <v>0</v>
      </c>
      <c r="AL142" s="22">
        <f t="shared" si="64"/>
        <v>0</v>
      </c>
      <c r="AM142" s="22">
        <f t="shared" si="64"/>
        <v>0</v>
      </c>
      <c r="AN142" s="22">
        <f t="shared" si="64"/>
        <v>0</v>
      </c>
      <c r="AO142" s="22">
        <f t="shared" si="64"/>
        <v>0</v>
      </c>
      <c r="AP142" s="22">
        <f t="shared" si="64"/>
        <v>0</v>
      </c>
      <c r="AQ142" s="22">
        <f t="shared" si="64"/>
        <v>0</v>
      </c>
      <c r="AR142" s="22">
        <f t="shared" si="64"/>
        <v>0</v>
      </c>
      <c r="AS142" s="22">
        <f t="shared" si="64"/>
        <v>0</v>
      </c>
      <c r="AT142" s="22">
        <f t="shared" si="64"/>
        <v>0</v>
      </c>
      <c r="AU142" s="22">
        <f t="shared" si="64"/>
        <v>0</v>
      </c>
      <c r="AV142" s="22">
        <f t="shared" si="64"/>
        <v>0</v>
      </c>
      <c r="AW142" s="22">
        <f t="shared" si="64"/>
        <v>0</v>
      </c>
      <c r="AX142" s="22">
        <f t="shared" si="64"/>
        <v>0</v>
      </c>
      <c r="AY142" s="22">
        <f t="shared" si="64"/>
        <v>0</v>
      </c>
    </row>
    <row r="143" spans="2:51" x14ac:dyDescent="0.35">
      <c r="B143" s="1" t="s">
        <v>201</v>
      </c>
      <c r="C143" s="1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>
        <f t="shared" ref="P143:AY143" si="65">P142</f>
        <v>0</v>
      </c>
      <c r="Q143" s="26">
        <f t="shared" si="65"/>
        <v>0</v>
      </c>
      <c r="R143" s="26">
        <f t="shared" si="65"/>
        <v>0</v>
      </c>
      <c r="S143" s="26">
        <f t="shared" si="65"/>
        <v>0</v>
      </c>
      <c r="T143" s="26">
        <f t="shared" si="65"/>
        <v>0</v>
      </c>
      <c r="U143" s="26">
        <f t="shared" si="65"/>
        <v>0</v>
      </c>
      <c r="V143" s="26">
        <f t="shared" si="65"/>
        <v>0</v>
      </c>
      <c r="W143" s="26">
        <f t="shared" si="65"/>
        <v>0</v>
      </c>
      <c r="X143" s="26">
        <f t="shared" si="65"/>
        <v>0</v>
      </c>
      <c r="Y143" s="26">
        <f t="shared" si="65"/>
        <v>0</v>
      </c>
      <c r="Z143" s="26">
        <f t="shared" si="65"/>
        <v>0</v>
      </c>
      <c r="AA143" s="26">
        <f t="shared" si="65"/>
        <v>0</v>
      </c>
      <c r="AB143" s="26">
        <f t="shared" si="65"/>
        <v>0</v>
      </c>
      <c r="AC143" s="26">
        <f t="shared" si="65"/>
        <v>0</v>
      </c>
      <c r="AD143" s="26">
        <f t="shared" si="65"/>
        <v>0</v>
      </c>
      <c r="AE143" s="26">
        <f t="shared" si="65"/>
        <v>0</v>
      </c>
      <c r="AF143" s="26">
        <f t="shared" si="65"/>
        <v>0</v>
      </c>
      <c r="AG143" s="26">
        <f t="shared" si="65"/>
        <v>0</v>
      </c>
      <c r="AH143" s="26">
        <f t="shared" si="65"/>
        <v>0</v>
      </c>
      <c r="AI143" s="26">
        <f t="shared" si="65"/>
        <v>0</v>
      </c>
      <c r="AJ143" s="26">
        <f t="shared" si="65"/>
        <v>0</v>
      </c>
      <c r="AK143" s="26">
        <f t="shared" si="65"/>
        <v>0</v>
      </c>
      <c r="AL143" s="26">
        <f t="shared" si="65"/>
        <v>0</v>
      </c>
      <c r="AM143" s="26">
        <f t="shared" si="65"/>
        <v>0</v>
      </c>
      <c r="AN143" s="26">
        <f t="shared" si="65"/>
        <v>0</v>
      </c>
      <c r="AO143" s="26">
        <f t="shared" si="65"/>
        <v>0</v>
      </c>
      <c r="AP143" s="26">
        <f t="shared" si="65"/>
        <v>0</v>
      </c>
      <c r="AQ143" s="26">
        <f t="shared" si="65"/>
        <v>0</v>
      </c>
      <c r="AR143" s="26">
        <f t="shared" si="65"/>
        <v>0</v>
      </c>
      <c r="AS143" s="26">
        <f t="shared" si="65"/>
        <v>0</v>
      </c>
      <c r="AT143" s="26">
        <f t="shared" si="65"/>
        <v>0</v>
      </c>
      <c r="AU143" s="26">
        <f t="shared" si="65"/>
        <v>0</v>
      </c>
      <c r="AV143" s="26">
        <f t="shared" si="65"/>
        <v>0</v>
      </c>
      <c r="AW143" s="26">
        <f t="shared" si="65"/>
        <v>0</v>
      </c>
      <c r="AX143" s="26">
        <f t="shared" si="65"/>
        <v>0</v>
      </c>
      <c r="AY143" s="26">
        <f t="shared" si="65"/>
        <v>0</v>
      </c>
    </row>
    <row r="145" spans="2:51" x14ac:dyDescent="0.35">
      <c r="B145" t="s">
        <v>202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</row>
    <row r="146" spans="2:51" x14ac:dyDescent="0.35">
      <c r="B146" t="s">
        <v>203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>
        <f t="shared" ref="P146:AY146" si="66">P120-O120</f>
        <v>450</v>
      </c>
      <c r="Q146" s="22">
        <f t="shared" si="66"/>
        <v>0</v>
      </c>
      <c r="R146" s="22">
        <f t="shared" si="66"/>
        <v>0</v>
      </c>
      <c r="S146" s="22">
        <f t="shared" si="66"/>
        <v>0</v>
      </c>
      <c r="T146" s="22">
        <f t="shared" si="66"/>
        <v>0</v>
      </c>
      <c r="U146" s="22">
        <f t="shared" si="66"/>
        <v>0</v>
      </c>
      <c r="V146" s="22">
        <f t="shared" si="66"/>
        <v>0</v>
      </c>
      <c r="W146" s="22">
        <f t="shared" si="66"/>
        <v>0</v>
      </c>
      <c r="X146" s="22">
        <f t="shared" si="66"/>
        <v>0</v>
      </c>
      <c r="Y146" s="22">
        <f t="shared" si="66"/>
        <v>0</v>
      </c>
      <c r="Z146" s="22">
        <f t="shared" si="66"/>
        <v>0</v>
      </c>
      <c r="AA146" s="22">
        <f t="shared" si="66"/>
        <v>0</v>
      </c>
      <c r="AB146" s="22">
        <f t="shared" si="66"/>
        <v>0</v>
      </c>
      <c r="AC146" s="22">
        <f t="shared" si="66"/>
        <v>0</v>
      </c>
      <c r="AD146" s="22">
        <f t="shared" si="66"/>
        <v>0</v>
      </c>
      <c r="AE146" s="22">
        <f t="shared" si="66"/>
        <v>0</v>
      </c>
      <c r="AF146" s="22">
        <f t="shared" si="66"/>
        <v>0</v>
      </c>
      <c r="AG146" s="22">
        <f t="shared" si="66"/>
        <v>0</v>
      </c>
      <c r="AH146" s="22">
        <f t="shared" si="66"/>
        <v>0</v>
      </c>
      <c r="AI146" s="22">
        <f t="shared" si="66"/>
        <v>0</v>
      </c>
      <c r="AJ146" s="22">
        <f t="shared" si="66"/>
        <v>0</v>
      </c>
      <c r="AK146" s="22">
        <f t="shared" si="66"/>
        <v>0</v>
      </c>
      <c r="AL146" s="22">
        <f t="shared" si="66"/>
        <v>0</v>
      </c>
      <c r="AM146" s="22">
        <f t="shared" si="66"/>
        <v>0</v>
      </c>
      <c r="AN146" s="22">
        <f t="shared" si="66"/>
        <v>0</v>
      </c>
      <c r="AO146" s="22">
        <f t="shared" si="66"/>
        <v>0</v>
      </c>
      <c r="AP146" s="22">
        <f t="shared" si="66"/>
        <v>0</v>
      </c>
      <c r="AQ146" s="22">
        <f t="shared" si="66"/>
        <v>0</v>
      </c>
      <c r="AR146" s="22">
        <f t="shared" si="66"/>
        <v>0</v>
      </c>
      <c r="AS146" s="22">
        <f t="shared" si="66"/>
        <v>0</v>
      </c>
      <c r="AT146" s="22">
        <f t="shared" si="66"/>
        <v>0</v>
      </c>
      <c r="AU146" s="22">
        <f t="shared" si="66"/>
        <v>0</v>
      </c>
      <c r="AV146" s="22">
        <f t="shared" si="66"/>
        <v>0</v>
      </c>
      <c r="AW146" s="22">
        <f t="shared" si="66"/>
        <v>0</v>
      </c>
      <c r="AX146" s="22">
        <f t="shared" si="66"/>
        <v>0</v>
      </c>
      <c r="AY146" s="22">
        <f t="shared" si="66"/>
        <v>0</v>
      </c>
    </row>
    <row r="147" spans="2:51" x14ac:dyDescent="0.35">
      <c r="B147" t="s">
        <v>204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>
        <f t="shared" ref="P147:AY147" si="67">(P123-O123)+(P125-O125)</f>
        <v>0</v>
      </c>
      <c r="Q147" s="22">
        <f t="shared" si="67"/>
        <v>0</v>
      </c>
      <c r="R147" s="22">
        <f t="shared" si="67"/>
        <v>0</v>
      </c>
      <c r="S147" s="22">
        <f t="shared" si="67"/>
        <v>0</v>
      </c>
      <c r="T147" s="22">
        <f t="shared" si="67"/>
        <v>0</v>
      </c>
      <c r="U147" s="22">
        <f t="shared" si="67"/>
        <v>0</v>
      </c>
      <c r="V147" s="22">
        <f t="shared" si="67"/>
        <v>0</v>
      </c>
      <c r="W147" s="22">
        <f t="shared" si="67"/>
        <v>0</v>
      </c>
      <c r="X147" s="22">
        <f t="shared" si="67"/>
        <v>0</v>
      </c>
      <c r="Y147" s="22">
        <f t="shared" si="67"/>
        <v>0</v>
      </c>
      <c r="Z147" s="22">
        <f t="shared" si="67"/>
        <v>0</v>
      </c>
      <c r="AA147" s="22">
        <f t="shared" si="67"/>
        <v>0</v>
      </c>
      <c r="AB147" s="22">
        <f t="shared" si="67"/>
        <v>0</v>
      </c>
      <c r="AC147" s="22">
        <f t="shared" si="67"/>
        <v>0</v>
      </c>
      <c r="AD147" s="22">
        <f t="shared" si="67"/>
        <v>0</v>
      </c>
      <c r="AE147" s="22">
        <f t="shared" si="67"/>
        <v>0</v>
      </c>
      <c r="AF147" s="22">
        <f t="shared" si="67"/>
        <v>0</v>
      </c>
      <c r="AG147" s="22">
        <f t="shared" si="67"/>
        <v>0</v>
      </c>
      <c r="AH147" s="22">
        <f t="shared" si="67"/>
        <v>0</v>
      </c>
      <c r="AI147" s="22">
        <f t="shared" si="67"/>
        <v>0</v>
      </c>
      <c r="AJ147" s="22">
        <f t="shared" si="67"/>
        <v>0</v>
      </c>
      <c r="AK147" s="22">
        <f t="shared" si="67"/>
        <v>0</v>
      </c>
      <c r="AL147" s="22">
        <f t="shared" si="67"/>
        <v>0</v>
      </c>
      <c r="AM147" s="22">
        <f t="shared" si="67"/>
        <v>0</v>
      </c>
      <c r="AN147" s="22">
        <f t="shared" si="67"/>
        <v>0</v>
      </c>
      <c r="AO147" s="22">
        <f t="shared" si="67"/>
        <v>0</v>
      </c>
      <c r="AP147" s="22">
        <f t="shared" si="67"/>
        <v>0</v>
      </c>
      <c r="AQ147" s="22">
        <f t="shared" si="67"/>
        <v>0</v>
      </c>
      <c r="AR147" s="22">
        <f t="shared" si="67"/>
        <v>0</v>
      </c>
      <c r="AS147" s="22">
        <f t="shared" si="67"/>
        <v>0</v>
      </c>
      <c r="AT147" s="22">
        <f t="shared" si="67"/>
        <v>0</v>
      </c>
      <c r="AU147" s="22">
        <f t="shared" si="67"/>
        <v>0</v>
      </c>
      <c r="AV147" s="22">
        <f t="shared" si="67"/>
        <v>0</v>
      </c>
      <c r="AW147" s="22">
        <f t="shared" si="67"/>
        <v>0</v>
      </c>
      <c r="AX147" s="22">
        <f t="shared" si="67"/>
        <v>0</v>
      </c>
      <c r="AY147" s="22">
        <f t="shared" si="67"/>
        <v>0</v>
      </c>
    </row>
    <row r="148" spans="2:51" x14ac:dyDescent="0.35">
      <c r="B148" s="1" t="s">
        <v>205</v>
      </c>
      <c r="C148" s="1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>
        <f t="shared" ref="P148:AY148" si="68">SUM(P146:P147)</f>
        <v>450</v>
      </c>
      <c r="Q148" s="26">
        <f t="shared" si="68"/>
        <v>0</v>
      </c>
      <c r="R148" s="26">
        <f t="shared" si="68"/>
        <v>0</v>
      </c>
      <c r="S148" s="26">
        <f t="shared" si="68"/>
        <v>0</v>
      </c>
      <c r="T148" s="26">
        <f t="shared" si="68"/>
        <v>0</v>
      </c>
      <c r="U148" s="26">
        <f t="shared" si="68"/>
        <v>0</v>
      </c>
      <c r="V148" s="26">
        <f t="shared" si="68"/>
        <v>0</v>
      </c>
      <c r="W148" s="26">
        <f t="shared" si="68"/>
        <v>0</v>
      </c>
      <c r="X148" s="26">
        <f t="shared" si="68"/>
        <v>0</v>
      </c>
      <c r="Y148" s="26">
        <f t="shared" si="68"/>
        <v>0</v>
      </c>
      <c r="Z148" s="26">
        <f t="shared" si="68"/>
        <v>0</v>
      </c>
      <c r="AA148" s="26">
        <f t="shared" si="68"/>
        <v>0</v>
      </c>
      <c r="AB148" s="26">
        <f t="shared" si="68"/>
        <v>0</v>
      </c>
      <c r="AC148" s="26">
        <f t="shared" si="68"/>
        <v>0</v>
      </c>
      <c r="AD148" s="26">
        <f t="shared" si="68"/>
        <v>0</v>
      </c>
      <c r="AE148" s="26">
        <f t="shared" si="68"/>
        <v>0</v>
      </c>
      <c r="AF148" s="26">
        <f t="shared" si="68"/>
        <v>0</v>
      </c>
      <c r="AG148" s="26">
        <f t="shared" si="68"/>
        <v>0</v>
      </c>
      <c r="AH148" s="26">
        <f t="shared" si="68"/>
        <v>0</v>
      </c>
      <c r="AI148" s="26">
        <f t="shared" si="68"/>
        <v>0</v>
      </c>
      <c r="AJ148" s="26">
        <f t="shared" si="68"/>
        <v>0</v>
      </c>
      <c r="AK148" s="26">
        <f t="shared" si="68"/>
        <v>0</v>
      </c>
      <c r="AL148" s="26">
        <f t="shared" si="68"/>
        <v>0</v>
      </c>
      <c r="AM148" s="26">
        <f t="shared" si="68"/>
        <v>0</v>
      </c>
      <c r="AN148" s="26">
        <f t="shared" si="68"/>
        <v>0</v>
      </c>
      <c r="AO148" s="26">
        <f t="shared" si="68"/>
        <v>0</v>
      </c>
      <c r="AP148" s="26">
        <f t="shared" si="68"/>
        <v>0</v>
      </c>
      <c r="AQ148" s="26">
        <f t="shared" si="68"/>
        <v>0</v>
      </c>
      <c r="AR148" s="26">
        <f t="shared" si="68"/>
        <v>0</v>
      </c>
      <c r="AS148" s="26">
        <f t="shared" si="68"/>
        <v>0</v>
      </c>
      <c r="AT148" s="26">
        <f t="shared" si="68"/>
        <v>0</v>
      </c>
      <c r="AU148" s="26">
        <f t="shared" si="68"/>
        <v>0</v>
      </c>
      <c r="AV148" s="26">
        <f t="shared" si="68"/>
        <v>0</v>
      </c>
      <c r="AW148" s="26">
        <f t="shared" si="68"/>
        <v>0</v>
      </c>
      <c r="AX148" s="26">
        <f t="shared" si="68"/>
        <v>0</v>
      </c>
      <c r="AY148" s="26">
        <f t="shared" si="68"/>
        <v>0</v>
      </c>
    </row>
    <row r="150" spans="2:51" x14ac:dyDescent="0.35">
      <c r="B150" t="s">
        <v>206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>
        <f t="shared" ref="P150:AY150" si="69">O116</f>
        <v>2020</v>
      </c>
      <c r="Q150" s="22">
        <f t="shared" si="69"/>
        <v>2372.4953304597707</v>
      </c>
      <c r="R150" s="22">
        <f t="shared" si="69"/>
        <v>2312.8503069091239</v>
      </c>
      <c r="S150" s="22">
        <f t="shared" si="69"/>
        <v>2293.2613532553642</v>
      </c>
      <c r="T150" s="22">
        <f t="shared" si="69"/>
        <v>2315.9539442868818</v>
      </c>
      <c r="U150" s="22">
        <f t="shared" si="69"/>
        <v>2383.1829779657628</v>
      </c>
      <c r="V150" s="22">
        <f t="shared" si="69"/>
        <v>1737.0648967435693</v>
      </c>
      <c r="W150" s="22">
        <f t="shared" si="69"/>
        <v>1103.9261588612342</v>
      </c>
      <c r="X150" s="22">
        <f t="shared" si="69"/>
        <v>484.38318236107796</v>
      </c>
      <c r="Y150" s="22">
        <f t="shared" si="69"/>
        <v>783.65533522813246</v>
      </c>
      <c r="Z150" s="22">
        <f t="shared" si="69"/>
        <v>1130.8582273059283</v>
      </c>
      <c r="AA150" s="22">
        <f t="shared" si="69"/>
        <v>1516.7789228365809</v>
      </c>
      <c r="AB150" s="22">
        <f t="shared" si="69"/>
        <v>1932.2586299991426</v>
      </c>
      <c r="AC150" s="22">
        <f t="shared" si="69"/>
        <v>2305.1326060751258</v>
      </c>
      <c r="AD150" s="22">
        <f t="shared" si="69"/>
        <v>2708.3571158896525</v>
      </c>
      <c r="AE150" s="22">
        <f t="shared" si="69"/>
        <v>3142.3353479684565</v>
      </c>
      <c r="AF150" s="22">
        <f t="shared" si="69"/>
        <v>3607.4755150203973</v>
      </c>
      <c r="AG150" s="22">
        <f t="shared" si="69"/>
        <v>4104.19090885879</v>
      </c>
      <c r="AH150" s="22">
        <f t="shared" si="69"/>
        <v>3648.0989088052661</v>
      </c>
      <c r="AI150" s="22">
        <f t="shared" si="69"/>
        <v>3200.5433806610154</v>
      </c>
      <c r="AJ150" s="22">
        <f t="shared" si="69"/>
        <v>2761.6333468166868</v>
      </c>
      <c r="AK150" s="22">
        <f t="shared" si="69"/>
        <v>3473.0715309776151</v>
      </c>
      <c r="AL150" s="22">
        <f t="shared" si="69"/>
        <v>4220.5221209475103</v>
      </c>
      <c r="AM150" s="22">
        <f t="shared" si="69"/>
        <v>4971.971324724741</v>
      </c>
      <c r="AN150" s="22">
        <f t="shared" si="69"/>
        <v>5631.1061280278827</v>
      </c>
      <c r="AO150" s="22">
        <f t="shared" si="69"/>
        <v>6257.666208040675</v>
      </c>
      <c r="AP150" s="22">
        <f t="shared" si="69"/>
        <v>6914.5980770777805</v>
      </c>
      <c r="AQ150" s="22">
        <f t="shared" si="69"/>
        <v>7602.3044359886171</v>
      </c>
      <c r="AR150" s="22">
        <f t="shared" si="69"/>
        <v>8321.1929866353239</v>
      </c>
      <c r="AS150" s="22">
        <f t="shared" si="69"/>
        <v>9071.6764861499141</v>
      </c>
      <c r="AT150" s="22">
        <f t="shared" si="69"/>
        <v>8816.118209706272</v>
      </c>
      <c r="AU150" s="22">
        <f t="shared" si="69"/>
        <v>8571.2142493584633</v>
      </c>
      <c r="AV150" s="22">
        <f t="shared" si="69"/>
        <v>8337.1002706455492</v>
      </c>
      <c r="AW150" s="22">
        <f t="shared" si="69"/>
        <v>9302.8085353377646</v>
      </c>
      <c r="AX150" s="22">
        <f t="shared" si="69"/>
        <v>10304.556101429836</v>
      </c>
      <c r="AY150" s="22">
        <f t="shared" si="69"/>
        <v>11342.82146442906</v>
      </c>
    </row>
    <row r="151" spans="2:51" x14ac:dyDescent="0.35">
      <c r="B151" s="1" t="s">
        <v>207</v>
      </c>
      <c r="C151" s="1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>
        <f t="shared" ref="P151:AY151" si="70">SUM(P139,P143,P148)</f>
        <v>352.49533045977057</v>
      </c>
      <c r="Q151" s="26">
        <f t="shared" si="70"/>
        <v>-59.645023550646755</v>
      </c>
      <c r="R151" s="26">
        <f t="shared" si="70"/>
        <v>-19.588953653759859</v>
      </c>
      <c r="S151" s="26">
        <f t="shared" si="70"/>
        <v>22.69259103151785</v>
      </c>
      <c r="T151" s="26">
        <f t="shared" si="70"/>
        <v>67.229033678880967</v>
      </c>
      <c r="U151" s="26">
        <f t="shared" si="70"/>
        <v>-646.1180812221935</v>
      </c>
      <c r="V151" s="26">
        <f t="shared" si="70"/>
        <v>-633.13873788233514</v>
      </c>
      <c r="W151" s="26">
        <f t="shared" si="70"/>
        <v>-619.54297650015621</v>
      </c>
      <c r="X151" s="26">
        <f t="shared" si="70"/>
        <v>299.2721528670545</v>
      </c>
      <c r="Y151" s="26">
        <f t="shared" si="70"/>
        <v>347.20289207779581</v>
      </c>
      <c r="Z151" s="26">
        <f t="shared" si="70"/>
        <v>385.92069553065278</v>
      </c>
      <c r="AA151" s="26">
        <f t="shared" si="70"/>
        <v>415.47970716256174</v>
      </c>
      <c r="AB151" s="26">
        <f t="shared" si="70"/>
        <v>372.87397607598325</v>
      </c>
      <c r="AC151" s="26">
        <f t="shared" si="70"/>
        <v>403.22450981452687</v>
      </c>
      <c r="AD151" s="26">
        <f t="shared" si="70"/>
        <v>433.97823207880396</v>
      </c>
      <c r="AE151" s="26">
        <f t="shared" si="70"/>
        <v>465.14016705194075</v>
      </c>
      <c r="AF151" s="26">
        <f t="shared" si="70"/>
        <v>496.71539383839234</v>
      </c>
      <c r="AG151" s="26">
        <f t="shared" si="70"/>
        <v>-456.09200005352386</v>
      </c>
      <c r="AH151" s="26">
        <f t="shared" si="70"/>
        <v>-447.5555281442505</v>
      </c>
      <c r="AI151" s="26">
        <f t="shared" si="70"/>
        <v>-438.91003384432872</v>
      </c>
      <c r="AJ151" s="26">
        <f t="shared" si="70"/>
        <v>711.43818416092824</v>
      </c>
      <c r="AK151" s="26">
        <f t="shared" si="70"/>
        <v>747.45058996989553</v>
      </c>
      <c r="AL151" s="26">
        <f t="shared" si="70"/>
        <v>751.44920377723054</v>
      </c>
      <c r="AM151" s="26">
        <f t="shared" si="70"/>
        <v>659.13480330314189</v>
      </c>
      <c r="AN151" s="26">
        <f t="shared" si="70"/>
        <v>626.56008001279213</v>
      </c>
      <c r="AO151" s="26">
        <f t="shared" si="70"/>
        <v>656.93186903710534</v>
      </c>
      <c r="AP151" s="26">
        <f t="shared" si="70"/>
        <v>687.70635891083634</v>
      </c>
      <c r="AQ151" s="26">
        <f t="shared" si="70"/>
        <v>718.88855064670656</v>
      </c>
      <c r="AR151" s="26">
        <f t="shared" si="70"/>
        <v>750.48349951458988</v>
      </c>
      <c r="AS151" s="26">
        <f t="shared" si="70"/>
        <v>-255.55827644364174</v>
      </c>
      <c r="AT151" s="26">
        <f t="shared" si="70"/>
        <v>-244.90396034780883</v>
      </c>
      <c r="AU151" s="26">
        <f t="shared" si="70"/>
        <v>-234.11397871291462</v>
      </c>
      <c r="AV151" s="26">
        <f t="shared" si="70"/>
        <v>965.70826469221583</v>
      </c>
      <c r="AW151" s="26">
        <f t="shared" si="70"/>
        <v>1001.7475660920711</v>
      </c>
      <c r="AX151" s="26">
        <f t="shared" si="70"/>
        <v>1038.2653629992244</v>
      </c>
      <c r="AY151" s="26">
        <f t="shared" si="70"/>
        <v>1075.2676136651307</v>
      </c>
    </row>
    <row r="152" spans="2:51" x14ac:dyDescent="0.35">
      <c r="B152" s="27" t="s">
        <v>208</v>
      </c>
      <c r="C152" s="27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>
        <f t="shared" ref="P152:AY152" si="71">P150+P151</f>
        <v>2372.4953304597707</v>
      </c>
      <c r="Q152" s="28">
        <f t="shared" si="71"/>
        <v>2312.8503069091239</v>
      </c>
      <c r="R152" s="28">
        <f t="shared" si="71"/>
        <v>2293.2613532553642</v>
      </c>
      <c r="S152" s="28">
        <f t="shared" si="71"/>
        <v>2315.9539442868818</v>
      </c>
      <c r="T152" s="28">
        <f t="shared" si="71"/>
        <v>2383.1829779657628</v>
      </c>
      <c r="U152" s="28">
        <f t="shared" si="71"/>
        <v>1737.0648967435693</v>
      </c>
      <c r="V152" s="28">
        <f t="shared" si="71"/>
        <v>1103.9261588612342</v>
      </c>
      <c r="W152" s="28">
        <f t="shared" si="71"/>
        <v>484.38318236107796</v>
      </c>
      <c r="X152" s="28">
        <f t="shared" si="71"/>
        <v>783.65533522813246</v>
      </c>
      <c r="Y152" s="28">
        <f t="shared" si="71"/>
        <v>1130.8582273059283</v>
      </c>
      <c r="Z152" s="28">
        <f t="shared" si="71"/>
        <v>1516.7789228365809</v>
      </c>
      <c r="AA152" s="28">
        <f t="shared" si="71"/>
        <v>1932.2586299991426</v>
      </c>
      <c r="AB152" s="28">
        <f t="shared" si="71"/>
        <v>2305.1326060751258</v>
      </c>
      <c r="AC152" s="28">
        <f t="shared" si="71"/>
        <v>2708.3571158896525</v>
      </c>
      <c r="AD152" s="28">
        <f t="shared" si="71"/>
        <v>3142.3353479684565</v>
      </c>
      <c r="AE152" s="28">
        <f t="shared" si="71"/>
        <v>3607.4755150203973</v>
      </c>
      <c r="AF152" s="28">
        <f t="shared" si="71"/>
        <v>4104.19090885879</v>
      </c>
      <c r="AG152" s="28">
        <f t="shared" si="71"/>
        <v>3648.0989088052661</v>
      </c>
      <c r="AH152" s="28">
        <f t="shared" si="71"/>
        <v>3200.5433806610154</v>
      </c>
      <c r="AI152" s="28">
        <f t="shared" si="71"/>
        <v>2761.6333468166868</v>
      </c>
      <c r="AJ152" s="28">
        <f t="shared" si="71"/>
        <v>3473.0715309776151</v>
      </c>
      <c r="AK152" s="28">
        <f t="shared" si="71"/>
        <v>4220.5221209475103</v>
      </c>
      <c r="AL152" s="28">
        <f t="shared" si="71"/>
        <v>4971.971324724741</v>
      </c>
      <c r="AM152" s="28">
        <f t="shared" si="71"/>
        <v>5631.1061280278827</v>
      </c>
      <c r="AN152" s="28">
        <f t="shared" si="71"/>
        <v>6257.666208040675</v>
      </c>
      <c r="AO152" s="28">
        <f t="shared" si="71"/>
        <v>6914.5980770777805</v>
      </c>
      <c r="AP152" s="28">
        <f t="shared" si="71"/>
        <v>7602.3044359886171</v>
      </c>
      <c r="AQ152" s="28">
        <f t="shared" si="71"/>
        <v>8321.1929866353239</v>
      </c>
      <c r="AR152" s="28">
        <f t="shared" si="71"/>
        <v>9071.6764861499141</v>
      </c>
      <c r="AS152" s="28">
        <f t="shared" si="71"/>
        <v>8816.118209706272</v>
      </c>
      <c r="AT152" s="28">
        <f t="shared" si="71"/>
        <v>8571.2142493584633</v>
      </c>
      <c r="AU152" s="28">
        <f t="shared" si="71"/>
        <v>8337.1002706455492</v>
      </c>
      <c r="AV152" s="28">
        <f t="shared" si="71"/>
        <v>9302.8085353377646</v>
      </c>
      <c r="AW152" s="28">
        <f t="shared" si="71"/>
        <v>10304.556101429836</v>
      </c>
      <c r="AX152" s="28">
        <f t="shared" si="71"/>
        <v>11342.82146442906</v>
      </c>
      <c r="AY152" s="28">
        <f t="shared" si="71"/>
        <v>12418.089078094192</v>
      </c>
    </row>
    <row r="154" spans="2:51" x14ac:dyDescent="0.35">
      <c r="B154" s="29" t="s">
        <v>209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>
        <f t="shared" ref="P154:AY154" si="72">P152-P116</f>
        <v>0</v>
      </c>
      <c r="Q154" s="29">
        <f t="shared" si="72"/>
        <v>0</v>
      </c>
      <c r="R154" s="29">
        <f t="shared" si="72"/>
        <v>0</v>
      </c>
      <c r="S154" s="29">
        <f t="shared" si="72"/>
        <v>0</v>
      </c>
      <c r="T154" s="29">
        <f t="shared" si="72"/>
        <v>0</v>
      </c>
      <c r="U154" s="29">
        <f t="shared" si="72"/>
        <v>0</v>
      </c>
      <c r="V154" s="29">
        <f t="shared" si="72"/>
        <v>0</v>
      </c>
      <c r="W154" s="29">
        <f t="shared" si="72"/>
        <v>0</v>
      </c>
      <c r="X154" s="29">
        <f t="shared" si="72"/>
        <v>0</v>
      </c>
      <c r="Y154" s="29">
        <f t="shared" si="72"/>
        <v>0</v>
      </c>
      <c r="Z154" s="29">
        <f t="shared" si="72"/>
        <v>0</v>
      </c>
      <c r="AA154" s="29">
        <f t="shared" si="72"/>
        <v>0</v>
      </c>
      <c r="AB154" s="29">
        <f t="shared" si="72"/>
        <v>0</v>
      </c>
      <c r="AC154" s="29">
        <f t="shared" si="72"/>
        <v>0</v>
      </c>
      <c r="AD154" s="29">
        <f t="shared" si="72"/>
        <v>0</v>
      </c>
      <c r="AE154" s="29">
        <f t="shared" si="72"/>
        <v>0</v>
      </c>
      <c r="AF154" s="29">
        <f t="shared" si="72"/>
        <v>0</v>
      </c>
      <c r="AG154" s="29">
        <f t="shared" si="72"/>
        <v>0</v>
      </c>
      <c r="AH154" s="29">
        <f t="shared" si="72"/>
        <v>0</v>
      </c>
      <c r="AI154" s="29">
        <f t="shared" si="72"/>
        <v>0</v>
      </c>
      <c r="AJ154" s="29">
        <f t="shared" si="72"/>
        <v>0</v>
      </c>
      <c r="AK154" s="29">
        <f t="shared" si="72"/>
        <v>0</v>
      </c>
      <c r="AL154" s="29">
        <f t="shared" si="72"/>
        <v>0</v>
      </c>
      <c r="AM154" s="29">
        <f t="shared" si="72"/>
        <v>0</v>
      </c>
      <c r="AN154" s="29">
        <f t="shared" si="72"/>
        <v>0</v>
      </c>
      <c r="AO154" s="29">
        <f t="shared" si="72"/>
        <v>0</v>
      </c>
      <c r="AP154" s="29">
        <f t="shared" si="72"/>
        <v>0</v>
      </c>
      <c r="AQ154" s="29">
        <f t="shared" si="72"/>
        <v>0</v>
      </c>
      <c r="AR154" s="29">
        <f t="shared" si="72"/>
        <v>0</v>
      </c>
      <c r="AS154" s="29">
        <f t="shared" si="72"/>
        <v>0</v>
      </c>
      <c r="AT154" s="29">
        <f t="shared" si="72"/>
        <v>0</v>
      </c>
      <c r="AU154" s="29">
        <f t="shared" si="72"/>
        <v>0</v>
      </c>
      <c r="AV154" s="29">
        <f t="shared" si="72"/>
        <v>0</v>
      </c>
      <c r="AW154" s="29">
        <f t="shared" si="72"/>
        <v>0</v>
      </c>
      <c r="AX154" s="29">
        <f t="shared" si="72"/>
        <v>0</v>
      </c>
      <c r="AY154" s="29">
        <f t="shared" si="72"/>
        <v>0</v>
      </c>
    </row>
    <row r="156" spans="2:51" x14ac:dyDescent="0.35">
      <c r="B156" s="1" t="s">
        <v>210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</row>
    <row r="157" spans="2:51" x14ac:dyDescent="0.35">
      <c r="B157" t="s">
        <v>211</v>
      </c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>
        <f t="shared" ref="O157:AY157" si="73">IFERROR((O119+O122)/O110,0)</f>
        <v>0.9249324799289651</v>
      </c>
      <c r="P157" s="30">
        <f t="shared" si="73"/>
        <v>0.93151702463595309</v>
      </c>
      <c r="Q157" s="30">
        <f t="shared" si="73"/>
        <v>0.92790651471497698</v>
      </c>
      <c r="R157" s="30">
        <f t="shared" si="73"/>
        <v>0.92505009755840872</v>
      </c>
      <c r="S157" s="30">
        <f t="shared" si="73"/>
        <v>0.92314803724005201</v>
      </c>
      <c r="T157" s="30">
        <f t="shared" si="73"/>
        <v>0.92233000842616075</v>
      </c>
      <c r="U157" s="30">
        <f t="shared" si="73"/>
        <v>0.94411554112838703</v>
      </c>
      <c r="V157" s="30">
        <f t="shared" si="73"/>
        <v>0.91963176357282583</v>
      </c>
      <c r="W157" s="30">
        <f t="shared" si="73"/>
        <v>0.86240834554675605</v>
      </c>
      <c r="X157" s="30">
        <f t="shared" si="73"/>
        <v>0.80352290668413229</v>
      </c>
      <c r="Y157" s="30">
        <f t="shared" si="73"/>
        <v>0.83833657745690149</v>
      </c>
      <c r="Z157" s="30">
        <f t="shared" si="73"/>
        <v>0.86472609995068694</v>
      </c>
      <c r="AA157" s="30">
        <f t="shared" si="73"/>
        <v>0.88486982651462065</v>
      </c>
      <c r="AB157" s="30">
        <f t="shared" si="73"/>
        <v>0.89810983073667727</v>
      </c>
      <c r="AC157" s="30">
        <f t="shared" si="73"/>
        <v>0.90915615351842538</v>
      </c>
      <c r="AD157" s="30">
        <f t="shared" si="73"/>
        <v>0.91845626543924319</v>
      </c>
      <c r="AE157" s="30">
        <f t="shared" si="73"/>
        <v>0.92635281088729904</v>
      </c>
      <c r="AF157" s="30">
        <f t="shared" si="73"/>
        <v>0.93311057931924812</v>
      </c>
      <c r="AG157" s="30">
        <f t="shared" si="73"/>
        <v>0.95909144981242889</v>
      </c>
      <c r="AH157" s="30">
        <f t="shared" si="73"/>
        <v>0.95332689140977733</v>
      </c>
      <c r="AI157" s="30">
        <f t="shared" si="73"/>
        <v>0.94598361454215174</v>
      </c>
      <c r="AJ157" s="30">
        <f t="shared" si="73"/>
        <v>0.91440824291288336</v>
      </c>
      <c r="AK157" s="30">
        <f t="shared" si="73"/>
        <v>0.92673469370932438</v>
      </c>
      <c r="AL157" s="30">
        <f t="shared" si="73"/>
        <v>0.93572561899402018</v>
      </c>
      <c r="AM157" s="30">
        <f t="shared" si="73"/>
        <v>0.9416605594649845</v>
      </c>
      <c r="AN157" s="30">
        <f t="shared" si="73"/>
        <v>0.94623605113191778</v>
      </c>
      <c r="AO157" s="30">
        <f t="shared" si="73"/>
        <v>0.95022225241117453</v>
      </c>
      <c r="AP157" s="30">
        <f t="shared" si="73"/>
        <v>0.95372067672028271</v>
      </c>
      <c r="AQ157" s="30">
        <f t="shared" si="73"/>
        <v>0.95681126088047252</v>
      </c>
      <c r="AR157" s="30">
        <f t="shared" si="73"/>
        <v>0.95955775416075351</v>
      </c>
      <c r="AS157" s="30">
        <f t="shared" si="73"/>
        <v>0.97752632290772146</v>
      </c>
      <c r="AT157" s="30">
        <f t="shared" si="73"/>
        <v>0.97667745852444021</v>
      </c>
      <c r="AU157" s="30">
        <f t="shared" si="73"/>
        <v>0.97580686092719704</v>
      </c>
      <c r="AV157" s="30">
        <f t="shared" si="73"/>
        <v>0.95671247107111579</v>
      </c>
      <c r="AW157" s="30">
        <f t="shared" si="73"/>
        <v>0.96007995136571245</v>
      </c>
      <c r="AX157" s="30">
        <f t="shared" si="73"/>
        <v>0.96297952573195611</v>
      </c>
      <c r="AY157" s="30">
        <f t="shared" si="73"/>
        <v>0.96550093007648785</v>
      </c>
    </row>
    <row r="158" spans="2:51" x14ac:dyDescent="0.35">
      <c r="B158" t="s">
        <v>212</v>
      </c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>
        <f t="shared" ref="O158:AY158" si="74">IFERROR(O113/O124,0)</f>
        <v>10.955643173977329</v>
      </c>
      <c r="P158" s="30">
        <f t="shared" si="74"/>
        <v>12.393163754347876</v>
      </c>
      <c r="Q158" s="30">
        <f t="shared" si="74"/>
        <v>11.813670476476105</v>
      </c>
      <c r="R158" s="30">
        <f t="shared" si="74"/>
        <v>11.43172439954162</v>
      </c>
      <c r="S158" s="30">
        <f t="shared" si="74"/>
        <v>11.242922918514923</v>
      </c>
      <c r="T158" s="30">
        <f t="shared" si="74"/>
        <v>11.241906910783085</v>
      </c>
      <c r="U158" s="30">
        <f t="shared" si="74"/>
        <v>14.993884015263298</v>
      </c>
      <c r="V158" s="30">
        <f t="shared" si="74"/>
        <v>9.7483180760263544</v>
      </c>
      <c r="W158" s="30">
        <f t="shared" si="74"/>
        <v>4.7743913816657866</v>
      </c>
      <c r="X158" s="30">
        <f t="shared" si="74"/>
        <v>3.9574693921563626</v>
      </c>
      <c r="Y158" s="30">
        <f t="shared" si="74"/>
        <v>5.1565349182733993</v>
      </c>
      <c r="Z158" s="30">
        <f t="shared" si="74"/>
        <v>6.4569936391387941</v>
      </c>
      <c r="AA158" s="30">
        <f t="shared" si="74"/>
        <v>7.8366595173058728</v>
      </c>
      <c r="AB158" s="30">
        <f t="shared" si="74"/>
        <v>9.021122615271711</v>
      </c>
      <c r="AC158" s="30">
        <f t="shared" si="74"/>
        <v>10.268692834447055</v>
      </c>
      <c r="AD158" s="30">
        <f t="shared" si="74"/>
        <v>11.576718688015454</v>
      </c>
      <c r="AE158" s="30">
        <f t="shared" si="74"/>
        <v>12.942630340319667</v>
      </c>
      <c r="AF158" s="30">
        <f t="shared" si="74"/>
        <v>14.363936934153525</v>
      </c>
      <c r="AG158" s="30">
        <f t="shared" si="74"/>
        <v>23.412634721357836</v>
      </c>
      <c r="AH158" s="30">
        <f t="shared" si="74"/>
        <v>20.476305134173668</v>
      </c>
      <c r="AI158" s="30">
        <f t="shared" si="74"/>
        <v>17.644980909320786</v>
      </c>
      <c r="AJ158" s="30">
        <f t="shared" si="74"/>
        <v>11.292195621287757</v>
      </c>
      <c r="AK158" s="30">
        <f t="shared" si="74"/>
        <v>13.299324481014711</v>
      </c>
      <c r="AL158" s="30">
        <f t="shared" si="74"/>
        <v>15.248789534259368</v>
      </c>
      <c r="AM158" s="30">
        <f t="shared" si="74"/>
        <v>16.870499737522586</v>
      </c>
      <c r="AN158" s="30">
        <f t="shared" si="74"/>
        <v>18.344821267154785</v>
      </c>
      <c r="AO158" s="30">
        <f t="shared" si="74"/>
        <v>19.849407189294329</v>
      </c>
      <c r="AP158" s="30">
        <f t="shared" si="74"/>
        <v>21.382707565990923</v>
      </c>
      <c r="AQ158" s="30">
        <f t="shared" si="74"/>
        <v>22.943221450638092</v>
      </c>
      <c r="AR158" s="30">
        <f t="shared" si="74"/>
        <v>24.529495279317377</v>
      </c>
      <c r="AS158" s="30">
        <f t="shared" si="74"/>
        <v>44.144149003868542</v>
      </c>
      <c r="AT158" s="30">
        <f t="shared" si="74"/>
        <v>42.547356538337304</v>
      </c>
      <c r="AU158" s="30">
        <f t="shared" si="74"/>
        <v>41.026765967776932</v>
      </c>
      <c r="AV158" s="30">
        <f t="shared" si="74"/>
        <v>22.959708996389978</v>
      </c>
      <c r="AW158" s="30">
        <f t="shared" si="74"/>
        <v>24.920076283149704</v>
      </c>
      <c r="AX158" s="30">
        <f t="shared" si="74"/>
        <v>26.893374146252132</v>
      </c>
      <c r="AY158" s="30">
        <f t="shared" si="74"/>
        <v>28.878528993203599</v>
      </c>
    </row>
    <row r="159" spans="2:51" x14ac:dyDescent="0.35">
      <c r="B159" t="s">
        <v>213</v>
      </c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>
        <f t="shared" ref="P159:AY159" si="75">IFERROR(P38/P33,0)</f>
        <v>0.79734895324351651</v>
      </c>
      <c r="Q159" s="31">
        <f t="shared" si="75"/>
        <v>0.79755119976684352</v>
      </c>
      <c r="R159" s="31">
        <f t="shared" si="75"/>
        <v>0.79781831669106484</v>
      </c>
      <c r="S159" s="31">
        <f t="shared" si="75"/>
        <v>0.7981431044010282</v>
      </c>
      <c r="T159" s="31">
        <f t="shared" si="75"/>
        <v>0.79851858169942336</v>
      </c>
      <c r="U159" s="31">
        <f t="shared" si="75"/>
        <v>0.80725775870126826</v>
      </c>
      <c r="V159" s="31">
        <f t="shared" si="75"/>
        <v>0.80644174117464185</v>
      </c>
      <c r="W159" s="31">
        <f t="shared" si="75"/>
        <v>0.80566381086488581</v>
      </c>
      <c r="X159" s="31">
        <f t="shared" si="75"/>
        <v>0.80631003142133839</v>
      </c>
      <c r="Y159" s="31">
        <f t="shared" si="75"/>
        <v>0.8064308514855264</v>
      </c>
      <c r="Z159" s="31">
        <f t="shared" si="75"/>
        <v>0.80607548091245695</v>
      </c>
      <c r="AA159" s="31">
        <f t="shared" si="75"/>
        <v>0.80527643598904997</v>
      </c>
      <c r="AB159" s="31">
        <f t="shared" si="75"/>
        <v>0.80447110974053659</v>
      </c>
      <c r="AC159" s="31">
        <f t="shared" si="75"/>
        <v>0.80365951125765001</v>
      </c>
      <c r="AD159" s="31">
        <f t="shared" si="75"/>
        <v>0.80284164869373742</v>
      </c>
      <c r="AE159" s="31">
        <f t="shared" si="75"/>
        <v>0.80201752929095083</v>
      </c>
      <c r="AF159" s="31">
        <f t="shared" si="75"/>
        <v>0.8011871594053952</v>
      </c>
      <c r="AG159" s="31">
        <f t="shared" si="75"/>
        <v>0.8092120148784242</v>
      </c>
      <c r="AH159" s="31">
        <f t="shared" si="75"/>
        <v>0.80776196059907479</v>
      </c>
      <c r="AI159" s="31">
        <f t="shared" si="75"/>
        <v>0.80630428684351996</v>
      </c>
      <c r="AJ159" s="31">
        <f t="shared" si="75"/>
        <v>0.80551547376453658</v>
      </c>
      <c r="AK159" s="31">
        <f t="shared" si="75"/>
        <v>0.80472027595717499</v>
      </c>
      <c r="AL159" s="31">
        <f t="shared" si="75"/>
        <v>0.80391870562691636</v>
      </c>
      <c r="AM159" s="31">
        <f t="shared" si="75"/>
        <v>0.80311077394514108</v>
      </c>
      <c r="AN159" s="31">
        <f t="shared" si="75"/>
        <v>0.80229649107908518</v>
      </c>
      <c r="AO159" s="31">
        <f t="shared" si="75"/>
        <v>0.80147586622058653</v>
      </c>
      <c r="AP159" s="31">
        <f t="shared" si="75"/>
        <v>0.80064890761367147</v>
      </c>
      <c r="AQ159" s="31">
        <f t="shared" si="75"/>
        <v>0.79981562258103744</v>
      </c>
      <c r="AR159" s="31">
        <f t="shared" si="75"/>
        <v>0.79897601754948055</v>
      </c>
      <c r="AS159" s="31">
        <f t="shared" si="75"/>
        <v>0.80709012326294194</v>
      </c>
      <c r="AT159" s="31">
        <f t="shared" si="75"/>
        <v>0.80562394187781383</v>
      </c>
      <c r="AU159" s="31">
        <f t="shared" si="75"/>
        <v>0.80415005627475689</v>
      </c>
      <c r="AV159" s="31">
        <f t="shared" si="75"/>
        <v>0.80335247023317102</v>
      </c>
      <c r="AW159" s="31">
        <f t="shared" si="75"/>
        <v>0.80254842845400998</v>
      </c>
      <c r="AX159" s="31">
        <f t="shared" si="75"/>
        <v>0.80173794327850101</v>
      </c>
      <c r="AY159" s="31">
        <f t="shared" si="75"/>
        <v>0.80092102600226933</v>
      </c>
    </row>
    <row r="160" spans="2:51" x14ac:dyDescent="0.35">
      <c r="B160" t="s">
        <v>214</v>
      </c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>
        <f t="shared" ref="P160:AY160" si="76">IFERROR(P45/P33,0)</f>
        <v>-5.042564340805155E-2</v>
      </c>
      <c r="Q160" s="31">
        <f t="shared" si="76"/>
        <v>-2.785367944669237E-2</v>
      </c>
      <c r="R160" s="31">
        <f t="shared" si="76"/>
        <v>-5.2342567054037637E-3</v>
      </c>
      <c r="S160" s="31">
        <f t="shared" si="76"/>
        <v>1.7351002550034592E-2</v>
      </c>
      <c r="T160" s="31">
        <f t="shared" si="76"/>
        <v>3.9827705101720082E-2</v>
      </c>
      <c r="U160" s="31">
        <f t="shared" si="76"/>
        <v>-0.6149519916260896</v>
      </c>
      <c r="V160" s="31">
        <f t="shared" si="76"/>
        <v>-0.59258483992571487</v>
      </c>
      <c r="W160" s="31">
        <f t="shared" si="76"/>
        <v>-0.56995878660595722</v>
      </c>
      <c r="X160" s="31">
        <f t="shared" si="76"/>
        <v>0.14006100153981815</v>
      </c>
      <c r="Y160" s="31">
        <f t="shared" si="76"/>
        <v>0.15755039045345628</v>
      </c>
      <c r="Z160" s="31">
        <f t="shared" si="76"/>
        <v>0.17093091296973079</v>
      </c>
      <c r="AA160" s="31">
        <f t="shared" si="76"/>
        <v>0.18065034426958063</v>
      </c>
      <c r="AB160" s="31">
        <f t="shared" si="76"/>
        <v>0.16321393819833352</v>
      </c>
      <c r="AC160" s="31">
        <f t="shared" si="76"/>
        <v>0.17298459968543287</v>
      </c>
      <c r="AD160" s="31">
        <f t="shared" si="76"/>
        <v>0.18255645248918453</v>
      </c>
      <c r="AE160" s="31">
        <f t="shared" si="76"/>
        <v>0.19193359102133214</v>
      </c>
      <c r="AF160" s="31">
        <f t="shared" si="76"/>
        <v>0.20112000289597459</v>
      </c>
      <c r="AG160" s="31">
        <f t="shared" si="76"/>
        <v>-0.32297795263772544</v>
      </c>
      <c r="AH160" s="31">
        <f t="shared" si="76"/>
        <v>-0.31367753071282545</v>
      </c>
      <c r="AI160" s="31">
        <f t="shared" si="76"/>
        <v>-0.30443025259480833</v>
      </c>
      <c r="AJ160" s="31">
        <f t="shared" si="76"/>
        <v>0.25939645934932826</v>
      </c>
      <c r="AK160" s="31">
        <f t="shared" si="76"/>
        <v>0.26767849788528975</v>
      </c>
      <c r="AL160" s="31">
        <f t="shared" si="76"/>
        <v>0.2757868667015469</v>
      </c>
      <c r="AM160" s="31">
        <f t="shared" si="76"/>
        <v>0.28372519921041839</v>
      </c>
      <c r="AN160" s="31">
        <f t="shared" si="76"/>
        <v>0.26881752685744115</v>
      </c>
      <c r="AO160" s="31">
        <f t="shared" si="76"/>
        <v>0.27680056664153074</v>
      </c>
      <c r="AP160" s="31">
        <f t="shared" si="76"/>
        <v>0.28461708968109639</v>
      </c>
      <c r="AQ160" s="31">
        <f t="shared" si="76"/>
        <v>0.29227050352435702</v>
      </c>
      <c r="AR160" s="31">
        <f t="shared" si="76"/>
        <v>0.29976412671294322</v>
      </c>
      <c r="AS160" s="31">
        <f t="shared" si="76"/>
        <v>-0.13480894309767713</v>
      </c>
      <c r="AT160" s="31">
        <f t="shared" si="76"/>
        <v>-0.12733151626312733</v>
      </c>
      <c r="AU160" s="31">
        <f t="shared" si="76"/>
        <v>-0.1198996665528132</v>
      </c>
      <c r="AV160" s="31">
        <f t="shared" si="76"/>
        <v>0.34902147935894851</v>
      </c>
      <c r="AW160" s="31">
        <f t="shared" si="76"/>
        <v>0.3557690328793533</v>
      </c>
      <c r="AX160" s="31">
        <f t="shared" si="76"/>
        <v>0.36237096399812097</v>
      </c>
      <c r="AY160" s="31">
        <f t="shared" si="76"/>
        <v>0.36883029744983625</v>
      </c>
    </row>
    <row r="161" spans="2:51" x14ac:dyDescent="0.35">
      <c r="B161" t="s">
        <v>215</v>
      </c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>
        <f t="shared" ref="P161:AY161" si="77">IFERROR(P49/P33,0)</f>
        <v>-6.7713512846219806E-2</v>
      </c>
      <c r="Q161" s="31">
        <f t="shared" si="77"/>
        <v>-4.4685384291152749E-2</v>
      </c>
      <c r="R161" s="31">
        <f t="shared" si="77"/>
        <v>-2.1610152014955083E-2</v>
      </c>
      <c r="S161" s="31">
        <f t="shared" si="77"/>
        <v>1.4290440855246403E-3</v>
      </c>
      <c r="T161" s="31">
        <f t="shared" si="77"/>
        <v>2.4356436122494936E-2</v>
      </c>
      <c r="U161" s="31">
        <f t="shared" si="77"/>
        <v>-0.64395377650435759</v>
      </c>
      <c r="V161" s="31">
        <f t="shared" si="77"/>
        <v>-0.62111387225354986</v>
      </c>
      <c r="W161" s="31">
        <f t="shared" si="77"/>
        <v>-0.59801056352307558</v>
      </c>
      <c r="X161" s="31">
        <f t="shared" si="77"/>
        <v>0.12647481213594783</v>
      </c>
      <c r="Y161" s="31">
        <f t="shared" si="77"/>
        <v>0.14431838192712471</v>
      </c>
      <c r="Z161" s="31">
        <f t="shared" si="77"/>
        <v>0.15797900758317612</v>
      </c>
      <c r="AA161" s="31">
        <f t="shared" si="77"/>
        <v>0.16791293226883203</v>
      </c>
      <c r="AB161" s="31">
        <f t="shared" si="77"/>
        <v>0.1506870920902719</v>
      </c>
      <c r="AC161" s="31">
        <f t="shared" si="77"/>
        <v>0.16066447616544099</v>
      </c>
      <c r="AD161" s="31">
        <f t="shared" si="77"/>
        <v>0.17043929023230694</v>
      </c>
      <c r="AE161" s="31">
        <f t="shared" si="77"/>
        <v>0.18001570854475277</v>
      </c>
      <c r="AF161" s="31">
        <f t="shared" si="77"/>
        <v>0.18939779649005228</v>
      </c>
      <c r="AG161" s="31">
        <f t="shared" si="77"/>
        <v>-0.34509508460532118</v>
      </c>
      <c r="AH161" s="31">
        <f t="shared" si="77"/>
        <v>-0.33558465401778881</v>
      </c>
      <c r="AI161" s="31">
        <f t="shared" si="77"/>
        <v>-0.32612825654693556</v>
      </c>
      <c r="AJ161" s="31">
        <f t="shared" si="77"/>
        <v>0.24872812041471196</v>
      </c>
      <c r="AK161" s="31">
        <f t="shared" si="77"/>
        <v>0.25718748116679124</v>
      </c>
      <c r="AL161" s="31">
        <f t="shared" si="77"/>
        <v>0.25429565991668063</v>
      </c>
      <c r="AM161" s="31">
        <f t="shared" si="77"/>
        <v>0.21886327465601044</v>
      </c>
      <c r="AN161" s="31">
        <f t="shared" si="77"/>
        <v>0.20707131937486564</v>
      </c>
      <c r="AO161" s="31">
        <f t="shared" si="77"/>
        <v>0.21358948466688643</v>
      </c>
      <c r="AP161" s="31">
        <f t="shared" si="77"/>
        <v>0.21997203966813955</v>
      </c>
      <c r="AQ161" s="31">
        <f t="shared" si="77"/>
        <v>0.22622176129640859</v>
      </c>
      <c r="AR161" s="31">
        <f t="shared" si="77"/>
        <v>0.23234135394576405</v>
      </c>
      <c r="AS161" s="31">
        <f t="shared" si="77"/>
        <v>-0.15242655356062729</v>
      </c>
      <c r="AT161" s="31">
        <f t="shared" si="77"/>
        <v>-0.14478184234139674</v>
      </c>
      <c r="AU161" s="31">
        <f t="shared" si="77"/>
        <v>-0.13718341663452349</v>
      </c>
      <c r="AV161" s="31">
        <f t="shared" si="77"/>
        <v>0.27241881053673594</v>
      </c>
      <c r="AW161" s="31">
        <f t="shared" si="77"/>
        <v>0.27792985150253297</v>
      </c>
      <c r="AX161" s="31">
        <f t="shared" si="77"/>
        <v>0.28332231194468005</v>
      </c>
      <c r="AY161" s="31">
        <f t="shared" si="77"/>
        <v>0.28859865674238033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54" customWidth="1"/>
    <col min="2" max="5" width="15" customWidth="1"/>
  </cols>
  <sheetData>
    <row r="1" spans="1:4" ht="21" customHeight="1" x14ac:dyDescent="0.5">
      <c r="A1" s="32" t="s">
        <v>216</v>
      </c>
    </row>
    <row r="2" spans="1:4" x14ac:dyDescent="0.35">
      <c r="A2" s="33" t="s">
        <v>217</v>
      </c>
    </row>
    <row r="4" spans="1:4" ht="21" customHeight="1" x14ac:dyDescent="0.5">
      <c r="A4" s="32" t="s">
        <v>218</v>
      </c>
      <c r="D4" s="34" t="s">
        <v>14</v>
      </c>
    </row>
    <row r="5" spans="1:4" x14ac:dyDescent="0.35">
      <c r="A5" s="35" t="s">
        <v>219</v>
      </c>
      <c r="B5" s="36" t="s">
        <v>220</v>
      </c>
      <c r="C5" s="36" t="s">
        <v>221</v>
      </c>
      <c r="D5" s="36" t="s">
        <v>222</v>
      </c>
    </row>
    <row r="6" spans="1:4" x14ac:dyDescent="0.35">
      <c r="A6" s="37" t="s">
        <v>105</v>
      </c>
      <c r="B6" s="38">
        <f>SUM(Расчеты!P33:AA33)</f>
        <v>21475.213513921939</v>
      </c>
      <c r="C6" s="38">
        <f>SUM(Расчеты!AB33:AM33)</f>
        <v>28026.923506975745</v>
      </c>
      <c r="D6" s="38">
        <f>SUM(Расчеты!AN33:AY33)</f>
        <v>35184.973986857753</v>
      </c>
    </row>
    <row r="7" spans="1:4" x14ac:dyDescent="0.35">
      <c r="A7" s="37" t="s">
        <v>111</v>
      </c>
      <c r="B7" s="38">
        <f>SUM(Расчеты!P34:AA34)</f>
        <v>-4239.0238494400392</v>
      </c>
      <c r="C7" s="38">
        <f>SUM(Расчеты!AB34:AM34)</f>
        <v>-5489.1718907331369</v>
      </c>
      <c r="D7" s="38">
        <f>SUM(Расчеты!AN34:AY34)</f>
        <v>-6967.7422798815378</v>
      </c>
    </row>
    <row r="8" spans="1:4" x14ac:dyDescent="0.35">
      <c r="A8" s="39" t="s">
        <v>115</v>
      </c>
      <c r="B8" s="40">
        <f>SUM(Расчеты!P38:AA38)</f>
        <v>17236.189664481903</v>
      </c>
      <c r="C8" s="40">
        <f>SUM(Расчеты!AB38:AM38)</f>
        <v>22537.751616242607</v>
      </c>
      <c r="D8" s="40">
        <f>SUM(Расчеты!AN38:AY38)</f>
        <v>28217.23170697621</v>
      </c>
    </row>
    <row r="9" spans="1:4" x14ac:dyDescent="0.35">
      <c r="A9" s="37" t="s">
        <v>36</v>
      </c>
      <c r="B9" s="38">
        <f>SUM(Расчеты!P39:AA39)</f>
        <v>-17413.931034482765</v>
      </c>
      <c r="C9" s="38">
        <f>SUM(Расчеты!AB39:AM39)</f>
        <v>-18284.627586206891</v>
      </c>
      <c r="D9" s="38">
        <f>SUM(Расчеты!AN39:AY39)</f>
        <v>-19198.858965517244</v>
      </c>
    </row>
    <row r="10" spans="1:4" x14ac:dyDescent="0.35">
      <c r="A10" s="39" t="s">
        <v>119</v>
      </c>
      <c r="B10" s="40">
        <f>SUM(Расчеты!P43:AA43)</f>
        <v>-177.74137000085693</v>
      </c>
      <c r="C10" s="40">
        <f>SUM(Расчеты!AB43:AM43)</f>
        <v>4253.1240300357103</v>
      </c>
      <c r="D10" s="40">
        <f>SUM(Расчеты!AN43:AY43)</f>
        <v>9018.3727414589739</v>
      </c>
    </row>
    <row r="11" spans="1:4" x14ac:dyDescent="0.35">
      <c r="A11" s="37" t="s">
        <v>120</v>
      </c>
      <c r="B11" s="38">
        <f>SUM(Расчеты!P44:AA44)</f>
        <v>-240</v>
      </c>
      <c r="C11" s="38">
        <f>SUM(Расчеты!AB44:AM44)</f>
        <v>-144</v>
      </c>
      <c r="D11" s="38">
        <f>SUM(Расчеты!AN44:AY44)</f>
        <v>-48</v>
      </c>
    </row>
    <row r="12" spans="1:4" x14ac:dyDescent="0.35">
      <c r="A12" s="39" t="s">
        <v>121</v>
      </c>
      <c r="B12" s="40">
        <f>SUM(Расчеты!P45:AA45)</f>
        <v>-417.74137000085693</v>
      </c>
      <c r="C12" s="40">
        <f>SUM(Расчеты!AB45:AM45)</f>
        <v>4109.1240300357103</v>
      </c>
      <c r="D12" s="40">
        <f>SUM(Расчеты!AN45:AY45)</f>
        <v>8970.3727414589739</v>
      </c>
    </row>
    <row r="13" spans="1:4" x14ac:dyDescent="0.35">
      <c r="A13" s="37" t="s">
        <v>122</v>
      </c>
      <c r="B13" s="38">
        <f>SUM(Расчеты!P46:AA46)</f>
        <v>-360</v>
      </c>
      <c r="C13" s="38">
        <f>SUM(Расчеты!AB46:AM46)</f>
        <v>-360</v>
      </c>
      <c r="D13" s="38">
        <f>SUM(Расчеты!AN46:AY46)</f>
        <v>-360</v>
      </c>
    </row>
    <row r="14" spans="1:4" x14ac:dyDescent="0.35">
      <c r="A14" s="39" t="s">
        <v>123</v>
      </c>
      <c r="B14" s="40">
        <f>SUM(Расчеты!P47:AA47)</f>
        <v>-777.74137000085693</v>
      </c>
      <c r="C14" s="40">
        <f>SUM(Расчеты!AB47:AM47)</f>
        <v>3749.1240300357103</v>
      </c>
      <c r="D14" s="40">
        <f>SUM(Расчеты!AN47:AY47)</f>
        <v>8610.3727414589739</v>
      </c>
    </row>
    <row r="15" spans="1:4" x14ac:dyDescent="0.35">
      <c r="A15" s="37" t="s">
        <v>71</v>
      </c>
      <c r="B15" s="38">
        <f>SUM(Расчеты!P48:AA48)</f>
        <v>0</v>
      </c>
      <c r="C15" s="38">
        <f>SUM(Расчеты!AB48:AM48)</f>
        <v>-194.27653200697057</v>
      </c>
      <c r="D15" s="38">
        <f>SUM(Расчеты!AN48:AY48)</f>
        <v>-1871.3897913926683</v>
      </c>
    </row>
    <row r="16" spans="1:4" x14ac:dyDescent="0.35">
      <c r="A16" s="41" t="s">
        <v>124</v>
      </c>
      <c r="B16" s="42">
        <f>SUM(Расчеты!P49:AA49)</f>
        <v>-777.74137000085693</v>
      </c>
      <c r="C16" s="42">
        <f>SUM(Расчеты!AB49:AM49)</f>
        <v>3554.8474980287406</v>
      </c>
      <c r="D16" s="42">
        <f>SUM(Расчеты!AN49:AY49)</f>
        <v>6738.9829500663054</v>
      </c>
    </row>
    <row r="18" spans="1:5" ht="21" customHeight="1" x14ac:dyDescent="0.5">
      <c r="A18" s="32" t="s">
        <v>223</v>
      </c>
      <c r="E18" s="34" t="s">
        <v>14</v>
      </c>
    </row>
    <row r="19" spans="1:5" x14ac:dyDescent="0.35">
      <c r="A19" s="35" t="s">
        <v>219</v>
      </c>
      <c r="B19" s="43">
        <v>2021</v>
      </c>
      <c r="C19" s="43">
        <v>2022</v>
      </c>
      <c r="D19" s="43">
        <v>2023</v>
      </c>
      <c r="E19" s="43">
        <v>2024</v>
      </c>
    </row>
    <row r="20" spans="1:5" x14ac:dyDescent="0.35">
      <c r="A20" s="41" t="s">
        <v>172</v>
      </c>
      <c r="B20" s="42">
        <f>Расчеты!O110</f>
        <v>2702.9</v>
      </c>
      <c r="C20" s="42">
        <f>Расчеты!AA110</f>
        <v>2454.8906120523588</v>
      </c>
      <c r="D20" s="42">
        <f>Расчеты!AM110</f>
        <v>6081.9220582858488</v>
      </c>
      <c r="E20" s="42">
        <f>Расчеты!AY110</f>
        <v>12911.524670521667</v>
      </c>
    </row>
    <row r="21" spans="1:5" x14ac:dyDescent="0.35">
      <c r="A21" s="39" t="s">
        <v>173</v>
      </c>
      <c r="B21" s="40">
        <f>Расчеты!O111</f>
        <v>480</v>
      </c>
      <c r="C21" s="40">
        <f>Расчеты!AA111</f>
        <v>240</v>
      </c>
      <c r="D21" s="40">
        <f>Расчеты!AM111</f>
        <v>96</v>
      </c>
      <c r="E21" s="40">
        <f>Расчеты!AY111</f>
        <v>48</v>
      </c>
    </row>
    <row r="22" spans="1:5" x14ac:dyDescent="0.35">
      <c r="A22" s="37" t="s">
        <v>174</v>
      </c>
      <c r="B22" s="38">
        <f>Расчеты!O112</f>
        <v>480</v>
      </c>
      <c r="C22" s="38">
        <f>Расчеты!AA112</f>
        <v>240</v>
      </c>
      <c r="D22" s="38">
        <f>Расчеты!AM112</f>
        <v>96</v>
      </c>
      <c r="E22" s="38">
        <f>Расчеты!AY112</f>
        <v>48</v>
      </c>
    </row>
    <row r="23" spans="1:5" x14ac:dyDescent="0.35">
      <c r="A23" s="39" t="s">
        <v>175</v>
      </c>
      <c r="B23" s="40">
        <f>Расчеты!O113</f>
        <v>2222.9</v>
      </c>
      <c r="C23" s="40">
        <f>Расчеты!AA113</f>
        <v>2214.8906120523588</v>
      </c>
      <c r="D23" s="40">
        <f>Расчеты!AM113</f>
        <v>5985.9220582858488</v>
      </c>
      <c r="E23" s="40">
        <f>Расчеты!AY113</f>
        <v>12863.524670521667</v>
      </c>
    </row>
    <row r="24" spans="1:5" x14ac:dyDescent="0.35">
      <c r="A24" s="37" t="s">
        <v>176</v>
      </c>
      <c r="B24" s="38">
        <f>Расчеты!O114</f>
        <v>0</v>
      </c>
      <c r="C24" s="38">
        <f>Расчеты!AA114</f>
        <v>0</v>
      </c>
      <c r="D24" s="38">
        <f>Расчеты!AM114</f>
        <v>0</v>
      </c>
      <c r="E24" s="38">
        <f>Расчеты!AY114</f>
        <v>0</v>
      </c>
    </row>
    <row r="25" spans="1:5" x14ac:dyDescent="0.35">
      <c r="A25" s="37" t="s">
        <v>177</v>
      </c>
      <c r="B25" s="38">
        <f>Расчеты!O115</f>
        <v>202.9</v>
      </c>
      <c r="C25" s="38">
        <f>Расчеты!AA115</f>
        <v>282.63198205321612</v>
      </c>
      <c r="D25" s="38">
        <f>Расчеты!AM115</f>
        <v>354.81593025796604</v>
      </c>
      <c r="E25" s="38">
        <f>Расчеты!AY115</f>
        <v>445.43559242747529</v>
      </c>
    </row>
    <row r="26" spans="1:5" x14ac:dyDescent="0.35">
      <c r="A26" s="37" t="s">
        <v>178</v>
      </c>
      <c r="B26" s="38">
        <f>Расчеты!O116</f>
        <v>2020</v>
      </c>
      <c r="C26" s="38">
        <f>Расчеты!AA116</f>
        <v>1932.2586299991426</v>
      </c>
      <c r="D26" s="38">
        <f>Расчеты!AM116</f>
        <v>5631.1061280278827</v>
      </c>
      <c r="E26" s="38">
        <f>Расчеты!AY116</f>
        <v>12418.089078094192</v>
      </c>
    </row>
    <row r="27" spans="1:5" x14ac:dyDescent="0.35">
      <c r="A27" s="41" t="s">
        <v>179</v>
      </c>
      <c r="B27" s="42">
        <f>Расчеты!O118</f>
        <v>2702.9</v>
      </c>
      <c r="C27" s="42">
        <f>Расчеты!AA118</f>
        <v>2454.8906120523579</v>
      </c>
      <c r="D27" s="42">
        <f>Расчеты!AM118</f>
        <v>6081.9220582858488</v>
      </c>
      <c r="E27" s="42">
        <f>Расчеты!AY118</f>
        <v>12911.524670521663</v>
      </c>
    </row>
    <row r="28" spans="1:5" x14ac:dyDescent="0.35">
      <c r="A28" s="39" t="s">
        <v>180</v>
      </c>
      <c r="B28" s="40">
        <f>Расчеты!O119</f>
        <v>-500</v>
      </c>
      <c r="C28" s="40">
        <f>Расчеты!AA119</f>
        <v>-827.7413700008583</v>
      </c>
      <c r="D28" s="40">
        <f>Расчеты!AM119</f>
        <v>2727.1061280278823</v>
      </c>
      <c r="E28" s="40">
        <f>Расчеты!AY119</f>
        <v>9466.0890780941882</v>
      </c>
    </row>
    <row r="29" spans="1:5" x14ac:dyDescent="0.35">
      <c r="A29" s="37" t="s">
        <v>181</v>
      </c>
      <c r="B29" s="38">
        <f>Расчеты!O120</f>
        <v>1500</v>
      </c>
      <c r="C29" s="38">
        <f>Расчеты!AA120</f>
        <v>1950</v>
      </c>
      <c r="D29" s="38">
        <f>Расчеты!AM120</f>
        <v>1950</v>
      </c>
      <c r="E29" s="38">
        <f>Расчеты!AY120</f>
        <v>1950</v>
      </c>
    </row>
    <row r="30" spans="1:5" x14ac:dyDescent="0.35">
      <c r="A30" s="37" t="s">
        <v>182</v>
      </c>
      <c r="B30" s="38">
        <f>Расчеты!O121</f>
        <v>-2000</v>
      </c>
      <c r="C30" s="38">
        <f>Расчеты!AA121</f>
        <v>-2777.7413700008583</v>
      </c>
      <c r="D30" s="38">
        <f>Расчеты!AM121</f>
        <v>777.10612802788216</v>
      </c>
      <c r="E30" s="38">
        <f>Расчеты!AY121</f>
        <v>7516.0890780941882</v>
      </c>
    </row>
    <row r="31" spans="1:5" x14ac:dyDescent="0.35">
      <c r="A31" s="39" t="s">
        <v>183</v>
      </c>
      <c r="B31" s="40">
        <f>Расчеты!O122</f>
        <v>3000</v>
      </c>
      <c r="C31" s="40">
        <f>Расчеты!AA122</f>
        <v>3000</v>
      </c>
      <c r="D31" s="40">
        <f>Расчеты!AM122</f>
        <v>3000</v>
      </c>
      <c r="E31" s="40">
        <f>Расчеты!AY122</f>
        <v>3000</v>
      </c>
    </row>
    <row r="32" spans="1:5" x14ac:dyDescent="0.35">
      <c r="A32" s="37" t="s">
        <v>186</v>
      </c>
      <c r="B32" s="38">
        <f>Расчеты!O123</f>
        <v>3000</v>
      </c>
      <c r="C32" s="38">
        <f>Расчеты!AA123</f>
        <v>3000</v>
      </c>
      <c r="D32" s="38">
        <f>Расчеты!AM123</f>
        <v>3000</v>
      </c>
      <c r="E32" s="38">
        <f>Расчеты!AY123</f>
        <v>3000</v>
      </c>
    </row>
    <row r="33" spans="1:5" x14ac:dyDescent="0.35">
      <c r="A33" s="39" t="s">
        <v>185</v>
      </c>
      <c r="B33" s="40">
        <f>Расчеты!O124</f>
        <v>202.9</v>
      </c>
      <c r="C33" s="40">
        <f>Расчеты!AA124</f>
        <v>282.63198205321612</v>
      </c>
      <c r="D33" s="40">
        <f>Расчеты!AM124</f>
        <v>354.81593025796604</v>
      </c>
      <c r="E33" s="40">
        <f>Расчеты!AY124</f>
        <v>445.43559242747529</v>
      </c>
    </row>
    <row r="34" spans="1:5" x14ac:dyDescent="0.35">
      <c r="A34" s="37" t="s">
        <v>224</v>
      </c>
      <c r="B34" s="38">
        <f>Расчеты!O125</f>
        <v>0</v>
      </c>
      <c r="C34" s="38">
        <f>Расчеты!AA125</f>
        <v>0</v>
      </c>
      <c r="D34" s="38">
        <f>Расчеты!AM125</f>
        <v>0</v>
      </c>
      <c r="E34" s="38">
        <f>Расчеты!AY125</f>
        <v>0</v>
      </c>
    </row>
    <row r="35" spans="1:5" x14ac:dyDescent="0.35">
      <c r="A35" s="37" t="s">
        <v>187</v>
      </c>
      <c r="B35" s="38">
        <f>Расчеты!O126</f>
        <v>202.9</v>
      </c>
      <c r="C35" s="38">
        <f>Расчеты!AA126</f>
        <v>282.63198205321612</v>
      </c>
      <c r="D35" s="38">
        <f>Расчеты!AM126</f>
        <v>354.81593025796604</v>
      </c>
      <c r="E35" s="38">
        <f>Расчеты!AY126</f>
        <v>445.43559242747529</v>
      </c>
    </row>
    <row r="37" spans="1:5" ht="21" customHeight="1" x14ac:dyDescent="0.5">
      <c r="A37" s="32" t="s">
        <v>225</v>
      </c>
      <c r="D37" s="34" t="s">
        <v>14</v>
      </c>
    </row>
    <row r="38" spans="1:5" x14ac:dyDescent="0.35">
      <c r="A38" s="35" t="s">
        <v>219</v>
      </c>
      <c r="B38" s="36" t="s">
        <v>220</v>
      </c>
      <c r="C38" s="36" t="s">
        <v>221</v>
      </c>
      <c r="D38" s="36" t="s">
        <v>222</v>
      </c>
    </row>
    <row r="39" spans="1:5" x14ac:dyDescent="0.35">
      <c r="A39" s="39" t="s">
        <v>190</v>
      </c>
      <c r="B39" s="40"/>
      <c r="C39" s="40"/>
      <c r="D39" s="40"/>
    </row>
    <row r="40" spans="1:5" x14ac:dyDescent="0.35">
      <c r="A40" s="37" t="s">
        <v>226</v>
      </c>
      <c r="B40" s="38">
        <f>SUM(Расчеты!P132:AA132)</f>
        <v>25690.524234653112</v>
      </c>
      <c r="C40" s="38">
        <f>SUM(Расчеты!AB132:AM132)</f>
        <v>33560.124260166136</v>
      </c>
      <c r="D40" s="38">
        <f>SUM(Расчеты!AN132:AY132)</f>
        <v>42131.349122059793</v>
      </c>
    </row>
    <row r="41" spans="1:5" x14ac:dyDescent="0.35">
      <c r="A41" s="37" t="s">
        <v>227</v>
      </c>
      <c r="B41" s="38">
        <f>SUM(Расчеты!P133:AA133)</f>
        <v>-5086.8286193280474</v>
      </c>
      <c r="C41" s="38">
        <f>SUM(Расчеты!AB133:AM133)</f>
        <v>-6587.0062688797643</v>
      </c>
      <c r="D41" s="38">
        <f>SUM(Расчеты!AN133:AY133)</f>
        <v>-8361.2907358578432</v>
      </c>
    </row>
    <row r="42" spans="1:5" x14ac:dyDescent="0.35">
      <c r="A42" s="37" t="s">
        <v>228</v>
      </c>
      <c r="B42" s="38">
        <f>SUM(Расчеты!P134:AA134)</f>
        <v>-18633.931034482761</v>
      </c>
      <c r="C42" s="38">
        <f>SUM(Расчеты!AB134:AM134)</f>
        <v>-19565.627586206891</v>
      </c>
      <c r="D42" s="38">
        <f>SUM(Расчеты!AN134:AY134)</f>
        <v>-20543.908965517243</v>
      </c>
    </row>
    <row r="43" spans="1:5" x14ac:dyDescent="0.35">
      <c r="A43" s="37" t="s">
        <v>229</v>
      </c>
      <c r="B43" s="38">
        <f>SUM(Расчеты!P135:AA135)</f>
        <v>79.731982053216115</v>
      </c>
      <c r="C43" s="38">
        <f>SUM(Расчеты!AB135:AM135)</f>
        <v>72.183948204749925</v>
      </c>
      <c r="D43" s="38">
        <f>SUM(Расчеты!AN135:AY135)</f>
        <v>90.61966216950924</v>
      </c>
    </row>
    <row r="44" spans="1:5" x14ac:dyDescent="0.35">
      <c r="A44" s="37" t="s">
        <v>230</v>
      </c>
      <c r="B44" s="38">
        <f>SUM(Расчеты!P136:AA136)</f>
        <v>-360</v>
      </c>
      <c r="C44" s="38">
        <f>SUM(Расчеты!AB136:AM136)</f>
        <v>-360</v>
      </c>
      <c r="D44" s="38">
        <f>SUM(Расчеты!AN136:AY136)</f>
        <v>-360</v>
      </c>
    </row>
    <row r="45" spans="1:5" x14ac:dyDescent="0.35">
      <c r="A45" s="37" t="s">
        <v>231</v>
      </c>
      <c r="B45" s="38">
        <f>SUM(Расчеты!P137:AA137)</f>
        <v>-2227.2379328963798</v>
      </c>
      <c r="C45" s="38">
        <f>SUM(Расчеты!AB137:AM137)</f>
        <v>-3226.5503232485198</v>
      </c>
      <c r="D45" s="38">
        <f>SUM(Расчеты!AN137:AY137)</f>
        <v>-4298.3963413952415</v>
      </c>
    </row>
    <row r="46" spans="1:5" x14ac:dyDescent="0.35">
      <c r="A46" s="37" t="s">
        <v>232</v>
      </c>
      <c r="B46" s="38">
        <f>SUM(Расчеты!P138:AA138)</f>
        <v>0</v>
      </c>
      <c r="C46" s="38">
        <f>SUM(Расчеты!AB138:AM138)</f>
        <v>-194.27653200697057</v>
      </c>
      <c r="D46" s="38">
        <f>SUM(Расчеты!AN138:AY138)</f>
        <v>-1871.3897913926683</v>
      </c>
    </row>
    <row r="47" spans="1:5" x14ac:dyDescent="0.35">
      <c r="A47" s="39" t="s">
        <v>198</v>
      </c>
      <c r="B47" s="40">
        <f>SUM(Расчеты!P139:AA139)</f>
        <v>-537.74137000085716</v>
      </c>
      <c r="C47" s="40">
        <f>SUM(Расчеты!AB139:AM139)</f>
        <v>3698.8474980287406</v>
      </c>
      <c r="D47" s="40">
        <f>SUM(Расчеты!AN139:AY139)</f>
        <v>6786.9829500663072</v>
      </c>
    </row>
    <row r="48" spans="1:5" x14ac:dyDescent="0.35">
      <c r="A48" s="39" t="s">
        <v>199</v>
      </c>
      <c r="B48" s="40"/>
      <c r="C48" s="40"/>
      <c r="D48" s="40"/>
    </row>
    <row r="49" spans="1:5" x14ac:dyDescent="0.35">
      <c r="A49" s="37" t="s">
        <v>233</v>
      </c>
      <c r="B49" s="38">
        <f>SUM(Расчеты!P142:AA142)</f>
        <v>0</v>
      </c>
      <c r="C49" s="38">
        <f>SUM(Расчеты!AB142:AM142)</f>
        <v>0</v>
      </c>
      <c r="D49" s="38">
        <f>SUM(Расчеты!AN142:AY142)</f>
        <v>0</v>
      </c>
    </row>
    <row r="50" spans="1:5" x14ac:dyDescent="0.35">
      <c r="A50" s="39" t="s">
        <v>201</v>
      </c>
      <c r="B50" s="40">
        <f>SUM(Расчеты!P143:AA143)</f>
        <v>0</v>
      </c>
      <c r="C50" s="40">
        <f>SUM(Расчеты!AB143:AM143)</f>
        <v>0</v>
      </c>
      <c r="D50" s="40">
        <f>SUM(Расчеты!AN143:AY143)</f>
        <v>0</v>
      </c>
    </row>
    <row r="51" spans="1:5" x14ac:dyDescent="0.35">
      <c r="A51" s="39" t="s">
        <v>202</v>
      </c>
      <c r="B51" s="40"/>
      <c r="C51" s="40"/>
      <c r="D51" s="40"/>
    </row>
    <row r="52" spans="1:5" x14ac:dyDescent="0.35">
      <c r="A52" s="37" t="s">
        <v>234</v>
      </c>
      <c r="B52" s="38">
        <f>SUM(Расчеты!P146:AA146)</f>
        <v>450</v>
      </c>
      <c r="C52" s="38">
        <f>SUM(Расчеты!AB146:AM146)</f>
        <v>0</v>
      </c>
      <c r="D52" s="38">
        <f>SUM(Расчеты!AN146:AY146)</f>
        <v>0</v>
      </c>
    </row>
    <row r="53" spans="1:5" x14ac:dyDescent="0.35">
      <c r="A53" s="37" t="s">
        <v>235</v>
      </c>
      <c r="B53" s="38">
        <f>SUM(Расчеты!P147:AA147)</f>
        <v>0</v>
      </c>
      <c r="C53" s="38">
        <f>SUM(Расчеты!AB147:AM147)</f>
        <v>0</v>
      </c>
      <c r="D53" s="38">
        <f>SUM(Расчеты!AN147:AY147)</f>
        <v>0</v>
      </c>
    </row>
    <row r="54" spans="1:5" x14ac:dyDescent="0.35">
      <c r="A54" s="39" t="s">
        <v>205</v>
      </c>
      <c r="B54" s="40">
        <f>SUM(Расчеты!P148:AA148)</f>
        <v>450</v>
      </c>
      <c r="C54" s="40">
        <f>SUM(Расчеты!AB148:AM148)</f>
        <v>0</v>
      </c>
      <c r="D54" s="40">
        <f>SUM(Расчеты!AN148:AY148)</f>
        <v>0</v>
      </c>
    </row>
    <row r="55" spans="1:5" x14ac:dyDescent="0.35">
      <c r="A55" s="41" t="s">
        <v>207</v>
      </c>
      <c r="B55" s="42">
        <f>SUM(Расчеты!P151:AA151)</f>
        <v>-87.741370000857103</v>
      </c>
      <c r="C55" s="42">
        <f>SUM(Расчеты!AB151:AM151)</f>
        <v>3698.8474980287406</v>
      </c>
      <c r="D55" s="42">
        <f>SUM(Расчеты!AN151:AY151)</f>
        <v>6786.9829500663072</v>
      </c>
    </row>
    <row r="56" spans="1:5" x14ac:dyDescent="0.35">
      <c r="A56" s="37" t="s">
        <v>206</v>
      </c>
      <c r="B56" s="38">
        <f>Расчеты!O116</f>
        <v>2020</v>
      </c>
      <c r="C56" s="38">
        <f>Расчеты!AA116</f>
        <v>1932.2586299991426</v>
      </c>
      <c r="D56" s="38">
        <f>Расчеты!AM116</f>
        <v>5631.1061280278827</v>
      </c>
    </row>
    <row r="57" spans="1:5" x14ac:dyDescent="0.35">
      <c r="A57" s="37" t="s">
        <v>208</v>
      </c>
      <c r="B57" s="38">
        <f>Расчеты!AA116</f>
        <v>1932.2586299991426</v>
      </c>
      <c r="C57" s="38">
        <f>Расчеты!AM116</f>
        <v>5631.1061280278827</v>
      </c>
      <c r="D57" s="38">
        <f>Расчеты!AY116</f>
        <v>12418.089078094192</v>
      </c>
    </row>
    <row r="59" spans="1:5" ht="21" customHeight="1" x14ac:dyDescent="0.5">
      <c r="A59" s="32" t="s">
        <v>236</v>
      </c>
    </row>
    <row r="60" spans="1:5" x14ac:dyDescent="0.35">
      <c r="A60" s="35" t="s">
        <v>219</v>
      </c>
      <c r="B60" s="43">
        <v>2021</v>
      </c>
      <c r="C60" s="43">
        <v>2022</v>
      </c>
      <c r="D60" s="43">
        <v>2023</v>
      </c>
      <c r="E60" s="43">
        <v>2024</v>
      </c>
    </row>
    <row r="61" spans="1:5" x14ac:dyDescent="0.35">
      <c r="A61" s="37" t="s">
        <v>211</v>
      </c>
      <c r="B61" s="44">
        <f>Расчеты!O157</f>
        <v>0.9249324799289651</v>
      </c>
      <c r="C61" s="44">
        <f>Расчеты!AA157</f>
        <v>0.88486982651462065</v>
      </c>
      <c r="D61" s="44">
        <f>Расчеты!AM157</f>
        <v>0.9416605594649845</v>
      </c>
      <c r="E61" s="44">
        <f>Расчеты!AY157</f>
        <v>0.96550093007648785</v>
      </c>
    </row>
    <row r="62" spans="1:5" x14ac:dyDescent="0.35">
      <c r="A62" s="37" t="s">
        <v>212</v>
      </c>
      <c r="B62" s="44">
        <f>Расчеты!O158</f>
        <v>10.955643173977329</v>
      </c>
      <c r="C62" s="44">
        <f>Расчеты!AA158</f>
        <v>7.8366595173058728</v>
      </c>
      <c r="D62" s="44">
        <f>Расчеты!AM158</f>
        <v>16.870499737522586</v>
      </c>
      <c r="E62" s="44">
        <f>Расчеты!AY158</f>
        <v>28.878528993203599</v>
      </c>
    </row>
    <row r="63" spans="1:5" x14ac:dyDescent="0.35">
      <c r="A63" s="37" t="s">
        <v>237</v>
      </c>
      <c r="B63" s="37"/>
      <c r="C63" s="45">
        <f>B8/B6</f>
        <v>0.80260853533810206</v>
      </c>
      <c r="D63" s="45">
        <f>C8/C6</f>
        <v>0.8041464704691218</v>
      </c>
      <c r="E63" s="45">
        <f>D8/D6</f>
        <v>0.8019682412587793</v>
      </c>
    </row>
    <row r="64" spans="1:5" x14ac:dyDescent="0.35">
      <c r="A64" s="37" t="s">
        <v>238</v>
      </c>
      <c r="B64" s="37"/>
      <c r="C64" s="45">
        <f>B12/B6</f>
        <v>-1.9452256888158239E-2</v>
      </c>
      <c r="D64" s="45">
        <f>C12/C6</f>
        <v>0.14661345291833305</v>
      </c>
      <c r="E64" s="45">
        <f>D12/D6</f>
        <v>0.25494896613564577</v>
      </c>
    </row>
    <row r="65" spans="1:5" x14ac:dyDescent="0.35">
      <c r="A65" s="37" t="s">
        <v>239</v>
      </c>
      <c r="B65" s="37"/>
      <c r="C65" s="45">
        <f>B16/B6</f>
        <v>-3.6215768914086149E-2</v>
      </c>
      <c r="D65" s="45">
        <f>C16/C6</f>
        <v>0.12683687872998115</v>
      </c>
      <c r="E65" s="45">
        <f>D16/D6</f>
        <v>0.19153013876274122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G14" sqref="G14"/>
    </sheetView>
  </sheetViews>
  <sheetFormatPr defaultRowHeight="14.5" x14ac:dyDescent="0.35"/>
  <cols>
    <col min="1" max="1" width="66" customWidth="1"/>
    <col min="2" max="2" width="16" customWidth="1"/>
  </cols>
  <sheetData>
    <row r="1" spans="1:2" ht="21" customHeight="1" x14ac:dyDescent="0.5">
      <c r="A1" s="32" t="s">
        <v>240</v>
      </c>
    </row>
    <row r="3" spans="1:2" x14ac:dyDescent="0.35">
      <c r="A3" s="46" t="s">
        <v>241</v>
      </c>
      <c r="B3" s="46"/>
    </row>
    <row r="4" spans="1:2" x14ac:dyDescent="0.35">
      <c r="A4" s="47" t="s">
        <v>242</v>
      </c>
      <c r="B4" s="47">
        <f>(Расчеты!P53+Расчеты!P55)/(Предпосылки!$C$32*Предпосылки!$C$34*Предпосылки!$C$35)</f>
        <v>3333.333333333333</v>
      </c>
    </row>
    <row r="5" spans="1:2" x14ac:dyDescent="0.35">
      <c r="A5" s="47" t="s">
        <v>243</v>
      </c>
      <c r="B5" s="47">
        <f>Расчеты!P59/(Предпосылки!$C$33*Предпосылки!$C$34*Предпосылки!$C$35)</f>
        <v>416.66666666666669</v>
      </c>
    </row>
    <row r="6" spans="1:2" x14ac:dyDescent="0.35">
      <c r="A6" s="47" t="s">
        <v>244</v>
      </c>
      <c r="B6" s="48">
        <f>Предпосылки!$C$7*B4+(1-Предпосылки!$C$7)*B5</f>
        <v>1291.6666666666665</v>
      </c>
    </row>
    <row r="8" spans="1:2" x14ac:dyDescent="0.35">
      <c r="A8" s="46" t="s">
        <v>245</v>
      </c>
      <c r="B8" s="46"/>
    </row>
    <row r="9" spans="1:2" x14ac:dyDescent="0.35">
      <c r="A9" s="47" t="s">
        <v>246</v>
      </c>
      <c r="B9" s="47">
        <f>2*Расчеты!P22*1000-Расчеты!P63</f>
        <v>2916.666666666667</v>
      </c>
    </row>
    <row r="10" spans="1:2" x14ac:dyDescent="0.35">
      <c r="A10" s="47" t="s">
        <v>247</v>
      </c>
      <c r="B10" s="47">
        <f>12*(Расчеты!P24*1000-Расчеты!P63)</f>
        <v>45000.000000000007</v>
      </c>
    </row>
    <row r="11" spans="1:2" x14ac:dyDescent="0.35">
      <c r="A11" s="47" t="s">
        <v>248</v>
      </c>
      <c r="B11" s="48">
        <f>Предпосылки!$C$6*B9+(1-Предпосылки!$C$6)*B10</f>
        <v>15541.66666666667</v>
      </c>
    </row>
    <row r="13" spans="1:2" x14ac:dyDescent="0.35">
      <c r="A13" s="46" t="s">
        <v>249</v>
      </c>
      <c r="B13" s="46"/>
    </row>
    <row r="14" spans="1:2" x14ac:dyDescent="0.35">
      <c r="A14" s="37" t="s">
        <v>250</v>
      </c>
      <c r="B14" s="44">
        <f>B11/B6</f>
        <v>12.032258064516133</v>
      </c>
    </row>
    <row r="15" spans="1:2" x14ac:dyDescent="0.35">
      <c r="A15" s="47" t="s">
        <v>251</v>
      </c>
      <c r="B15" s="48">
        <f>B11-B6</f>
        <v>14250.000000000004</v>
      </c>
    </row>
    <row r="16" spans="1:2" x14ac:dyDescent="0.35">
      <c r="A16" s="37" t="s">
        <v>252</v>
      </c>
      <c r="B16" s="49">
        <f>B6/(Расчеты!P24*1000-Расчеты!P63)</f>
        <v>0.34444444444444439</v>
      </c>
    </row>
    <row r="18" spans="1:2" x14ac:dyDescent="0.35">
      <c r="A18" s="46" t="s">
        <v>253</v>
      </c>
      <c r="B18" s="46"/>
    </row>
    <row r="19" spans="1:2" ht="29" x14ac:dyDescent="0.35">
      <c r="A19" s="50" t="s">
        <v>254</v>
      </c>
    </row>
    <row r="20" spans="1:2" ht="29" x14ac:dyDescent="0.35">
      <c r="A20" s="50" t="s">
        <v>255</v>
      </c>
    </row>
    <row r="21" spans="1:2" ht="29" x14ac:dyDescent="0.35">
      <c r="A21" s="50" t="s">
        <v>256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opLeftCell="A46" workbookViewId="0">
      <selection activeCell="C74" sqref="C74"/>
    </sheetView>
  </sheetViews>
  <sheetFormatPr defaultRowHeight="14.5" x14ac:dyDescent="0.35"/>
  <cols>
    <col min="1" max="1" width="66" customWidth="1"/>
    <col min="2" max="5" width="20" customWidth="1"/>
    <col min="6" max="8" width="12" customWidth="1"/>
  </cols>
  <sheetData>
    <row r="1" spans="1:5" ht="21" customHeight="1" x14ac:dyDescent="0.5">
      <c r="A1" s="32" t="s">
        <v>257</v>
      </c>
    </row>
    <row r="2" spans="1:5" x14ac:dyDescent="0.35">
      <c r="A2" s="33" t="s">
        <v>258</v>
      </c>
    </row>
    <row r="3" spans="1:5" x14ac:dyDescent="0.35">
      <c r="A3" s="33" t="s">
        <v>259</v>
      </c>
    </row>
    <row r="5" spans="1:5" x14ac:dyDescent="0.35">
      <c r="A5" s="1" t="s">
        <v>260</v>
      </c>
      <c r="B5" s="51">
        <v>0.15</v>
      </c>
    </row>
    <row r="6" spans="1:5" x14ac:dyDescent="0.35">
      <c r="A6" t="s">
        <v>261</v>
      </c>
      <c r="B6" s="52">
        <f>B5/12</f>
        <v>1.2499999999999999E-2</v>
      </c>
    </row>
    <row r="7" spans="1:5" x14ac:dyDescent="0.35">
      <c r="A7" t="s">
        <v>262</v>
      </c>
      <c r="B7" s="51">
        <v>0.05</v>
      </c>
    </row>
    <row r="10" spans="1:5" x14ac:dyDescent="0.35">
      <c r="A10" s="36" t="s">
        <v>263</v>
      </c>
      <c r="B10" s="36" t="s">
        <v>264</v>
      </c>
      <c r="C10" s="36" t="s">
        <v>265</v>
      </c>
      <c r="D10" s="36" t="s">
        <v>266</v>
      </c>
      <c r="E10" s="36" t="s">
        <v>267</v>
      </c>
    </row>
    <row r="11" spans="1:5" x14ac:dyDescent="0.35">
      <c r="A11" s="53">
        <v>1</v>
      </c>
      <c r="B11" s="54">
        <f>Расчеты!P1</f>
        <v>44562</v>
      </c>
      <c r="C11" s="38">
        <f>Расчеты!P139+Расчеты!P143+Расчеты!P147</f>
        <v>-97.504669540229457</v>
      </c>
      <c r="D11" s="38">
        <v>-1058.441092</v>
      </c>
      <c r="E11" s="38">
        <f t="shared" ref="E11:E46" si="0">D11-C11</f>
        <v>-960.9364224597706</v>
      </c>
    </row>
    <row r="12" spans="1:5" x14ac:dyDescent="0.35">
      <c r="A12" s="53">
        <v>2</v>
      </c>
      <c r="B12" s="54">
        <f>Расчеты!Q1</f>
        <v>44593</v>
      </c>
      <c r="C12" s="38">
        <f>Расчеты!Q139+Расчеты!Q143+Расчеты!Q147</f>
        <v>-59.645023550646755</v>
      </c>
      <c r="D12" s="38">
        <v>-18.704661000000002</v>
      </c>
      <c r="E12" s="38">
        <f t="shared" si="0"/>
        <v>40.940362550646753</v>
      </c>
    </row>
    <row r="13" spans="1:5" x14ac:dyDescent="0.35">
      <c r="A13" s="53">
        <v>3</v>
      </c>
      <c r="B13" s="54">
        <f>Расчеты!R1</f>
        <v>44621</v>
      </c>
      <c r="C13" s="38">
        <f>Расчеты!R139+Расчеты!R143+Расчеты!R147</f>
        <v>-19.588953653759859</v>
      </c>
      <c r="D13" s="38">
        <v>24.014662999999999</v>
      </c>
      <c r="E13" s="38">
        <f t="shared" si="0"/>
        <v>43.603616653759858</v>
      </c>
    </row>
    <row r="14" spans="1:5" x14ac:dyDescent="0.35">
      <c r="A14" s="53">
        <v>4</v>
      </c>
      <c r="B14" s="54">
        <f>Расчеты!S1</f>
        <v>44652</v>
      </c>
      <c r="C14" s="38">
        <f>Расчеты!S139+Расчеты!S143+Расчеты!S147</f>
        <v>22.69259103151785</v>
      </c>
      <c r="D14" s="38">
        <v>69.771320000000003</v>
      </c>
      <c r="E14" s="38">
        <f t="shared" si="0"/>
        <v>47.078728968482153</v>
      </c>
    </row>
    <row r="15" spans="1:5" x14ac:dyDescent="0.35">
      <c r="A15" s="53">
        <v>5</v>
      </c>
      <c r="B15" s="54">
        <f>Расчеты!T1</f>
        <v>44682</v>
      </c>
      <c r="C15" s="38">
        <f>Расчеты!T139+Расчеты!T143+Расчеты!T147</f>
        <v>67.229033678880967</v>
      </c>
      <c r="D15" s="38">
        <v>118.620744</v>
      </c>
      <c r="E15" s="38">
        <f t="shared" si="0"/>
        <v>51.391710321119035</v>
      </c>
    </row>
    <row r="16" spans="1:5" x14ac:dyDescent="0.35">
      <c r="A16" s="53">
        <v>6</v>
      </c>
      <c r="B16" s="54">
        <f>Расчеты!U1</f>
        <v>44713</v>
      </c>
      <c r="C16" s="38">
        <f>Расчеты!U139+Расчеты!U143+Расчеты!U147</f>
        <v>-646.1180812221935</v>
      </c>
      <c r="D16" s="38">
        <v>-688.01190199999996</v>
      </c>
      <c r="E16" s="38">
        <f t="shared" si="0"/>
        <v>-41.893820777806468</v>
      </c>
    </row>
    <row r="17" spans="1:5" x14ac:dyDescent="0.35">
      <c r="A17" s="53">
        <v>7</v>
      </c>
      <c r="B17" s="54">
        <f>Расчеты!V1</f>
        <v>44743</v>
      </c>
      <c r="C17" s="38">
        <f>Расчеты!V139+Расчеты!V143+Расчеты!V147</f>
        <v>-633.13873788233514</v>
      </c>
      <c r="D17" s="38">
        <v>-673.28724399999999</v>
      </c>
      <c r="E17" s="38">
        <f t="shared" si="0"/>
        <v>-40.148506117664851</v>
      </c>
    </row>
    <row r="18" spans="1:5" x14ac:dyDescent="0.35">
      <c r="A18" s="53">
        <v>8</v>
      </c>
      <c r="B18" s="54">
        <f>Расчеты!W1</f>
        <v>44774</v>
      </c>
      <c r="C18" s="38">
        <f>Расчеты!W139+Расчеты!W143+Расчеты!W147</f>
        <v>-619.54297650015621</v>
      </c>
      <c r="D18" s="38">
        <v>-657.70065599999998</v>
      </c>
      <c r="E18" s="38">
        <f t="shared" si="0"/>
        <v>-38.157679499843766</v>
      </c>
    </row>
    <row r="19" spans="1:5" x14ac:dyDescent="0.35">
      <c r="A19" s="53">
        <v>9</v>
      </c>
      <c r="B19" s="54">
        <f>Расчеты!X1</f>
        <v>44805</v>
      </c>
      <c r="C19" s="38">
        <f>Расчеты!X139+Расчеты!X143+Расчеты!X147</f>
        <v>299.2721528670545</v>
      </c>
      <c r="D19" s="38">
        <v>381.07343200000003</v>
      </c>
      <c r="E19" s="38">
        <f t="shared" si="0"/>
        <v>81.801279132945524</v>
      </c>
    </row>
    <row r="20" spans="1:5" x14ac:dyDescent="0.35">
      <c r="A20" s="53">
        <v>10</v>
      </c>
      <c r="B20" s="54">
        <f>Расчеты!Y1</f>
        <v>44835</v>
      </c>
      <c r="C20" s="38">
        <f>Расчеты!Y139+Расчеты!Y143+Расчеты!Y147</f>
        <v>347.20289207779581</v>
      </c>
      <c r="D20" s="38">
        <v>438.501418</v>
      </c>
      <c r="E20" s="38">
        <f t="shared" si="0"/>
        <v>91.298525922204192</v>
      </c>
    </row>
    <row r="21" spans="1:5" x14ac:dyDescent="0.35">
      <c r="A21" s="53">
        <v>11</v>
      </c>
      <c r="B21" s="54">
        <f>Расчеты!Z1</f>
        <v>44866</v>
      </c>
      <c r="C21" s="38">
        <f>Расчеты!Z139+Расчеты!Z143+Расчеты!Z147</f>
        <v>385.92069553065278</v>
      </c>
      <c r="D21" s="38">
        <v>487.78412500000002</v>
      </c>
      <c r="E21" s="38">
        <f t="shared" si="0"/>
        <v>101.86342946934724</v>
      </c>
    </row>
    <row r="22" spans="1:5" x14ac:dyDescent="0.35">
      <c r="A22" s="53">
        <v>12</v>
      </c>
      <c r="B22" s="54">
        <f>Расчеты!AA1</f>
        <v>44896</v>
      </c>
      <c r="C22" s="38">
        <f>Расчеты!AA139+Расчеты!AA143+Расчеты!AA147</f>
        <v>415.47970716256174</v>
      </c>
      <c r="D22" s="38">
        <v>529.00833699999998</v>
      </c>
      <c r="E22" s="38">
        <f t="shared" si="0"/>
        <v>113.52862983743825</v>
      </c>
    </row>
    <row r="23" spans="1:5" x14ac:dyDescent="0.35">
      <c r="A23" s="53">
        <v>13</v>
      </c>
      <c r="B23" s="54">
        <f>Расчеты!AB1</f>
        <v>44927</v>
      </c>
      <c r="C23" s="38">
        <f>Расчеты!AB139+Расчеты!AB143+Расчеты!AB147</f>
        <v>372.87397607598325</v>
      </c>
      <c r="D23" s="38">
        <v>294.32018900000003</v>
      </c>
      <c r="E23" s="38">
        <f t="shared" si="0"/>
        <v>-78.553787075983223</v>
      </c>
    </row>
    <row r="24" spans="1:5" x14ac:dyDescent="0.35">
      <c r="A24" s="53">
        <v>14</v>
      </c>
      <c r="B24" s="54">
        <f>Расчеты!AC1</f>
        <v>44958</v>
      </c>
      <c r="C24" s="38">
        <f>Расчеты!AC139+Расчеты!AC143+Расчеты!AC147</f>
        <v>403.22450981452687</v>
      </c>
      <c r="D24" s="38">
        <v>337.18890499999998</v>
      </c>
      <c r="E24" s="38">
        <f t="shared" si="0"/>
        <v>-66.035604814526891</v>
      </c>
    </row>
    <row r="25" spans="1:5" x14ac:dyDescent="0.35">
      <c r="A25" s="53">
        <v>15</v>
      </c>
      <c r="B25" s="54">
        <f>Расчеты!AD1</f>
        <v>44986</v>
      </c>
      <c r="C25" s="38">
        <f>Расчеты!AD139+Расчеты!AD143+Расчеты!AD147</f>
        <v>433.97823207880396</v>
      </c>
      <c r="D25" s="38">
        <v>380.84576199999998</v>
      </c>
      <c r="E25" s="38">
        <f t="shared" si="0"/>
        <v>-53.132470078803976</v>
      </c>
    </row>
    <row r="26" spans="1:5" x14ac:dyDescent="0.35">
      <c r="A26" s="53">
        <v>16</v>
      </c>
      <c r="B26" s="54">
        <f>Расчеты!AE1</f>
        <v>45017</v>
      </c>
      <c r="C26" s="38">
        <f>Расчеты!AE139+Расчеты!AE143+Расчеты!AE147</f>
        <v>465.14016705194075</v>
      </c>
      <c r="D26" s="38">
        <v>425.30482899999998</v>
      </c>
      <c r="E26" s="38">
        <f t="shared" si="0"/>
        <v>-39.835338051940766</v>
      </c>
    </row>
    <row r="27" spans="1:5" x14ac:dyDescent="0.35">
      <c r="A27" s="53">
        <v>17</v>
      </c>
      <c r="B27" s="54">
        <f>Расчеты!AF1</f>
        <v>45047</v>
      </c>
      <c r="C27" s="38">
        <f>Расчеты!AF139+Расчеты!AF143+Расчеты!AF147</f>
        <v>496.71539383839234</v>
      </c>
      <c r="D27" s="38">
        <v>470.58041600000001</v>
      </c>
      <c r="E27" s="38">
        <f t="shared" si="0"/>
        <v>-26.134977838392331</v>
      </c>
    </row>
    <row r="28" spans="1:5" x14ac:dyDescent="0.35">
      <c r="A28" s="53">
        <v>18</v>
      </c>
      <c r="B28" s="54">
        <f>Расчеты!AG1</f>
        <v>45078</v>
      </c>
      <c r="C28" s="38">
        <f>Расчеты!AG139+Расчеты!AG143+Расчеты!AG147</f>
        <v>-456.09200005352386</v>
      </c>
      <c r="D28" s="38">
        <v>-539.54010600000004</v>
      </c>
      <c r="E28" s="38">
        <f t="shared" si="0"/>
        <v>-83.448105946476176</v>
      </c>
    </row>
    <row r="29" spans="1:5" x14ac:dyDescent="0.35">
      <c r="A29" s="53">
        <v>19</v>
      </c>
      <c r="B29" s="54">
        <f>Расчеты!AH1</f>
        <v>45108</v>
      </c>
      <c r="C29" s="38">
        <f>Расчеты!AH139+Расчеты!AH143+Расчеты!AH147</f>
        <v>-447.5555281442505</v>
      </c>
      <c r="D29" s="38">
        <v>-526.94668300000001</v>
      </c>
      <c r="E29" s="38">
        <f t="shared" si="0"/>
        <v>-79.391154855749505</v>
      </c>
    </row>
    <row r="30" spans="1:5" x14ac:dyDescent="0.35">
      <c r="A30" s="53">
        <v>20</v>
      </c>
      <c r="B30" s="54">
        <f>Расчеты!AI1</f>
        <v>45139</v>
      </c>
      <c r="C30" s="38">
        <f>Расчеты!AI139+Расчеты!AI143+Расчеты!AI147</f>
        <v>-438.91003384432872</v>
      </c>
      <c r="D30" s="38">
        <v>-514.12672699999996</v>
      </c>
      <c r="E30" s="38">
        <f t="shared" si="0"/>
        <v>-75.216693155671237</v>
      </c>
    </row>
    <row r="31" spans="1:5" x14ac:dyDescent="0.35">
      <c r="A31" s="53">
        <v>21</v>
      </c>
      <c r="B31" s="54">
        <f>Расчеты!AJ1</f>
        <v>45170</v>
      </c>
      <c r="C31" s="38">
        <f>Расчеты!AJ139+Расчеты!AJ143+Расчеты!AJ147</f>
        <v>711.43818416092824</v>
      </c>
      <c r="D31" s="38">
        <v>734.54256999999996</v>
      </c>
      <c r="E31" s="38">
        <f t="shared" si="0"/>
        <v>23.104385839071711</v>
      </c>
    </row>
    <row r="32" spans="1:5" x14ac:dyDescent="0.35">
      <c r="A32" s="53">
        <v>22</v>
      </c>
      <c r="B32" s="54">
        <f>Расчеты!AK1</f>
        <v>45200</v>
      </c>
      <c r="C32" s="38">
        <f>Расчеты!AK139+Расчеты!AK143+Расчеты!AK147</f>
        <v>747.45058996989553</v>
      </c>
      <c r="D32" s="38">
        <v>787.43785200000002</v>
      </c>
      <c r="E32" s="38">
        <f t="shared" si="0"/>
        <v>39.987262030104489</v>
      </c>
    </row>
    <row r="33" spans="1:5" x14ac:dyDescent="0.35">
      <c r="A33" s="53">
        <v>23</v>
      </c>
      <c r="B33" s="54">
        <f>Расчеты!AL1</f>
        <v>45231</v>
      </c>
      <c r="C33" s="38">
        <f>Расчеты!AL139+Расчеты!AL143+Расчеты!AL147</f>
        <v>751.44920377723054</v>
      </c>
      <c r="D33" s="38">
        <v>841.30639499999995</v>
      </c>
      <c r="E33" s="38">
        <f t="shared" si="0"/>
        <v>89.857191222769416</v>
      </c>
    </row>
    <row r="34" spans="1:5" x14ac:dyDescent="0.35">
      <c r="A34" s="53">
        <v>24</v>
      </c>
      <c r="B34" s="54">
        <f>Расчеты!AM1</f>
        <v>45261</v>
      </c>
      <c r="C34" s="38">
        <f>Расчеты!AM139+Расчеты!AM143+Расчеты!AM147</f>
        <v>659.13480330314189</v>
      </c>
      <c r="D34" s="38">
        <v>745.02410199999997</v>
      </c>
      <c r="E34" s="38">
        <f t="shared" si="0"/>
        <v>85.889298696858077</v>
      </c>
    </row>
    <row r="35" spans="1:5" x14ac:dyDescent="0.35">
      <c r="A35" s="53">
        <v>25</v>
      </c>
      <c r="B35" s="54">
        <f>Расчеты!AN1</f>
        <v>45292</v>
      </c>
      <c r="C35" s="38">
        <f>Расчеты!AN139+Расчеты!AN143+Расчеты!AN147</f>
        <v>626.56008001279213</v>
      </c>
      <c r="D35" s="38">
        <v>698.52558599999998</v>
      </c>
      <c r="E35" s="38">
        <f t="shared" si="0"/>
        <v>71.965505987207848</v>
      </c>
    </row>
    <row r="36" spans="1:5" x14ac:dyDescent="0.35">
      <c r="A36" s="53">
        <v>26</v>
      </c>
      <c r="B36" s="54">
        <f>Расчеты!AO1</f>
        <v>45323</v>
      </c>
      <c r="C36" s="38">
        <f>Расчеты!AO139+Расчеты!AO143+Расчеты!AO147</f>
        <v>656.93186903710534</v>
      </c>
      <c r="D36" s="38">
        <v>744.04071899999997</v>
      </c>
      <c r="E36" s="38">
        <f t="shared" si="0"/>
        <v>87.108849962894624</v>
      </c>
    </row>
    <row r="37" spans="1:5" x14ac:dyDescent="0.35">
      <c r="A37" s="53">
        <v>27</v>
      </c>
      <c r="B37" s="54">
        <f>Расчеты!AP1</f>
        <v>45352</v>
      </c>
      <c r="C37" s="38">
        <f>Расчеты!AP139+Расчеты!AP143+Расчеты!AP147</f>
        <v>687.70635891083634</v>
      </c>
      <c r="D37" s="38">
        <v>790.39157799999998</v>
      </c>
      <c r="E37" s="38">
        <f t="shared" si="0"/>
        <v>102.68521908916364</v>
      </c>
    </row>
    <row r="38" spans="1:5" x14ac:dyDescent="0.35">
      <c r="A38" s="53">
        <v>28</v>
      </c>
      <c r="B38" s="54">
        <f>Расчеты!AQ1</f>
        <v>45383</v>
      </c>
      <c r="C38" s="38">
        <f>Расчеты!AQ139+Расчеты!AQ143+Расчеты!AQ147</f>
        <v>718.88855064670656</v>
      </c>
      <c r="D38" s="38">
        <v>837.59305300000005</v>
      </c>
      <c r="E38" s="38">
        <f t="shared" si="0"/>
        <v>118.70450235329349</v>
      </c>
    </row>
    <row r="39" spans="1:5" x14ac:dyDescent="0.35">
      <c r="A39" s="53">
        <v>29</v>
      </c>
      <c r="B39" s="54">
        <f>Расчеты!AR1</f>
        <v>45413</v>
      </c>
      <c r="C39" s="38">
        <f>Расчеты!AR139+Расчеты!AR143+Расчеты!AR147</f>
        <v>750.48349951458988</v>
      </c>
      <c r="D39" s="38">
        <v>885.66029000000003</v>
      </c>
      <c r="E39" s="38">
        <f t="shared" si="0"/>
        <v>135.17679048541015</v>
      </c>
    </row>
    <row r="40" spans="1:5" x14ac:dyDescent="0.35">
      <c r="A40" s="53">
        <v>30</v>
      </c>
      <c r="B40" s="54">
        <f>Расчеты!AS1</f>
        <v>45444</v>
      </c>
      <c r="C40" s="38">
        <f>Расчеты!AS139+Расчеты!AS143+Расчеты!AS147</f>
        <v>-255.55827644364174</v>
      </c>
      <c r="D40" s="38">
        <v>-239.25322800000001</v>
      </c>
      <c r="E40" s="38">
        <f t="shared" si="0"/>
        <v>16.305048443641738</v>
      </c>
    </row>
    <row r="41" spans="1:5" x14ac:dyDescent="0.35">
      <c r="A41" s="53">
        <v>31</v>
      </c>
      <c r="B41" s="54">
        <f>Расчеты!AT1</f>
        <v>45474</v>
      </c>
      <c r="C41" s="38">
        <f>Расчеты!AT139+Расчеты!AT143+Расчеты!AT147</f>
        <v>-244.90396034780883</v>
      </c>
      <c r="D41" s="38">
        <v>-222.57176699999999</v>
      </c>
      <c r="E41" s="38">
        <f t="shared" si="0"/>
        <v>22.33219334780884</v>
      </c>
    </row>
    <row r="42" spans="1:5" x14ac:dyDescent="0.35">
      <c r="A42" s="53">
        <v>32</v>
      </c>
      <c r="B42" s="54">
        <f>Расчеты!AU1</f>
        <v>45505</v>
      </c>
      <c r="C42" s="38">
        <f>Расчеты!AU139+Расчеты!AU143+Расчеты!AU147</f>
        <v>-234.11397871291462</v>
      </c>
      <c r="D42" s="38">
        <v>-205.590791</v>
      </c>
      <c r="E42" s="38">
        <f t="shared" si="0"/>
        <v>28.52318771291462</v>
      </c>
    </row>
    <row r="43" spans="1:5" x14ac:dyDescent="0.35">
      <c r="A43" s="53">
        <v>33</v>
      </c>
      <c r="B43" s="54">
        <f>Расчеты!AV1</f>
        <v>45536</v>
      </c>
      <c r="C43" s="38">
        <f>Расчеты!AV139+Расчеты!AV143+Расчеты!AV147</f>
        <v>965.70826469221583</v>
      </c>
      <c r="D43" s="38">
        <v>1166.2569679999999</v>
      </c>
      <c r="E43" s="38">
        <f t="shared" si="0"/>
        <v>200.54870330778408</v>
      </c>
    </row>
    <row r="44" spans="1:5" x14ac:dyDescent="0.35">
      <c r="A44" s="53">
        <v>34</v>
      </c>
      <c r="B44" s="54">
        <f>Расчеты!AW1</f>
        <v>45566</v>
      </c>
      <c r="C44" s="38">
        <f>Расчеты!AW139+Расчеты!AW143+Расчеты!AW147</f>
        <v>1001.7475660920711</v>
      </c>
      <c r="D44" s="38">
        <v>1222.4200519999999</v>
      </c>
      <c r="E44" s="38">
        <f t="shared" si="0"/>
        <v>220.67248590792883</v>
      </c>
    </row>
    <row r="45" spans="1:5" x14ac:dyDescent="0.35">
      <c r="A45" s="53">
        <v>35</v>
      </c>
      <c r="B45" s="54">
        <f>Расчеты!AX1</f>
        <v>45597</v>
      </c>
      <c r="C45" s="38">
        <f>Расчеты!AX139+Расчеты!AX143+Расчеты!AX147</f>
        <v>1038.2653629992244</v>
      </c>
      <c r="D45" s="38">
        <v>1279.6152199999999</v>
      </c>
      <c r="E45" s="38">
        <f t="shared" si="0"/>
        <v>241.3498570007755</v>
      </c>
    </row>
    <row r="46" spans="1:5" x14ac:dyDescent="0.35">
      <c r="A46" s="53">
        <v>36</v>
      </c>
      <c r="B46" s="54">
        <f>Расчеты!AY1</f>
        <v>45627</v>
      </c>
      <c r="C46" s="38">
        <f>Расчеты!AY139+Расчеты!AY143+Расчеты!AY147</f>
        <v>1075.2676136651307</v>
      </c>
      <c r="D46" s="38">
        <v>1337.8608899999999</v>
      </c>
      <c r="E46" s="38">
        <f t="shared" si="0"/>
        <v>262.59327633486919</v>
      </c>
    </row>
    <row r="49" spans="1:5" x14ac:dyDescent="0.35">
      <c r="A49" s="46" t="s">
        <v>268</v>
      </c>
      <c r="B49" s="46"/>
      <c r="C49" s="46"/>
      <c r="D49" s="46"/>
      <c r="E49" s="46"/>
    </row>
    <row r="50" spans="1:5" x14ac:dyDescent="0.35">
      <c r="A50" s="37" t="s">
        <v>269</v>
      </c>
      <c r="B50" s="55">
        <f>NPV(B6,E11:E46)</f>
        <v>242.17984463010109</v>
      </c>
    </row>
    <row r="51" spans="1:5" x14ac:dyDescent="0.35">
      <c r="A51" s="37" t="s">
        <v>270</v>
      </c>
      <c r="B51" s="39" t="str">
        <f>IF(B50&gt;0,"Сделка выгодна (NPV&gt;0)","Сделка невыгодна (NPV&lt;0)")</f>
        <v>Сделка выгодна (NPV&gt;0)</v>
      </c>
    </row>
    <row r="53" spans="1:5" x14ac:dyDescent="0.35">
      <c r="A53" s="46" t="s">
        <v>271</v>
      </c>
      <c r="B53" s="46"/>
      <c r="C53" s="46"/>
      <c r="D53" s="46"/>
      <c r="E53" s="46"/>
    </row>
    <row r="54" spans="1:5" x14ac:dyDescent="0.35">
      <c r="A54" s="35" t="s">
        <v>272</v>
      </c>
      <c r="B54" s="36" t="s">
        <v>4</v>
      </c>
      <c r="C54" s="36" t="s">
        <v>5</v>
      </c>
    </row>
    <row r="55" spans="1:5" x14ac:dyDescent="0.35">
      <c r="A55" s="37" t="s">
        <v>273</v>
      </c>
      <c r="B55" s="38">
        <f>NPV(B6,C11:C46)</f>
        <v>6964.2133869814343</v>
      </c>
      <c r="C55" s="38">
        <f>NPV(B6,D11:D46)</f>
        <v>7206.3932316115361</v>
      </c>
    </row>
    <row r="56" spans="1:5" x14ac:dyDescent="0.35">
      <c r="A56" s="37" t="s">
        <v>274</v>
      </c>
      <c r="B56" s="38">
        <f>SUM(C35:C46)</f>
        <v>6786.9829500663072</v>
      </c>
      <c r="C56" s="38">
        <f>SUM(D35:D46)</f>
        <v>8294.9485700000005</v>
      </c>
    </row>
    <row r="57" spans="1:5" x14ac:dyDescent="0.35">
      <c r="A57" s="37" t="s">
        <v>275</v>
      </c>
      <c r="B57" s="38">
        <f>B56*(1+$B$7)/($B$5-$B$7)</f>
        <v>71263.320975696246</v>
      </c>
      <c r="C57" s="38">
        <f>C56*(1+$B$7)/($B$5-$B$7)</f>
        <v>87096.959985000023</v>
      </c>
    </row>
    <row r="58" spans="1:5" x14ac:dyDescent="0.35">
      <c r="A58" s="37" t="s">
        <v>276</v>
      </c>
      <c r="B58" s="38">
        <f>B57/(1+$B$5)^3</f>
        <v>46856.790318531283</v>
      </c>
      <c r="C58" s="38">
        <f>C57/(1+$B$5)^3</f>
        <v>57267.664985616866</v>
      </c>
    </row>
    <row r="59" spans="1:5" x14ac:dyDescent="0.35">
      <c r="A59" s="56" t="s">
        <v>277</v>
      </c>
      <c r="B59" s="57">
        <f>B55+B58</f>
        <v>53821.003705512718</v>
      </c>
      <c r="C59" s="57">
        <f>C55+C58</f>
        <v>64474.058217228405</v>
      </c>
    </row>
    <row r="60" spans="1:5" x14ac:dyDescent="0.35">
      <c r="A60" s="37" t="s">
        <v>278</v>
      </c>
      <c r="B60" s="55">
        <f>B59/1000</f>
        <v>53.821003705512716</v>
      </c>
      <c r="C60" s="55">
        <f>C59/1000</f>
        <v>64.474058217228404</v>
      </c>
    </row>
    <row r="62" spans="1:5" x14ac:dyDescent="0.35">
      <c r="A62" s="39" t="s">
        <v>279</v>
      </c>
      <c r="B62" s="55">
        <f>C59-B59</f>
        <v>10653.054511715687</v>
      </c>
    </row>
    <row r="63" spans="1:5" x14ac:dyDescent="0.35">
      <c r="A63" s="37" t="s">
        <v>280</v>
      </c>
      <c r="B63" s="37" t="str">
        <f>IF(B62&gt;0,"Сделка выгодна: стоимость компании со сделкой выше","Сделка невыгодна: стоимость компании со сделкой ниже")</f>
        <v>Сделка выгодна: стоимость компании со сделкой выше</v>
      </c>
    </row>
    <row r="65" spans="1:5" x14ac:dyDescent="0.35">
      <c r="A65" s="46" t="s">
        <v>281</v>
      </c>
      <c r="B65" s="46"/>
      <c r="C65" s="46"/>
      <c r="D65" s="46"/>
      <c r="E65" s="46"/>
    </row>
    <row r="66" spans="1:5" x14ac:dyDescent="0.35">
      <c r="A66" s="35" t="s">
        <v>272</v>
      </c>
      <c r="B66" s="36" t="s">
        <v>4</v>
      </c>
      <c r="C66" s="36" t="s">
        <v>5</v>
      </c>
    </row>
    <row r="67" spans="1:5" x14ac:dyDescent="0.35">
      <c r="A67" s="37" t="s">
        <v>282</v>
      </c>
      <c r="B67" s="38">
        <f>MIN(Расчеты!P116:'Расчеты'!AY116)</f>
        <v>484.38318236107796</v>
      </c>
      <c r="C67" s="38">
        <v>186.26</v>
      </c>
    </row>
    <row r="68" spans="1:5" x14ac:dyDescent="0.35">
      <c r="A68" s="37" t="s">
        <v>283</v>
      </c>
      <c r="B68" s="58">
        <f>MIN(Расчеты!P157:'Расчеты'!AY157)</f>
        <v>0.80352290668413229</v>
      </c>
      <c r="C68" s="58">
        <v>0.85250000000000004</v>
      </c>
    </row>
    <row r="69" spans="1:5" x14ac:dyDescent="0.35">
      <c r="A69" s="37" t="s">
        <v>284</v>
      </c>
      <c r="B69" s="58">
        <f>MIN(Расчеты!P158:'Расчеты'!AY158)</f>
        <v>3.9574693921563626</v>
      </c>
      <c r="C69" s="58">
        <v>2.2959999999999998</v>
      </c>
    </row>
    <row r="70" spans="1:5" x14ac:dyDescent="0.35">
      <c r="A70" s="37" t="s">
        <v>285</v>
      </c>
      <c r="B70" s="37" t="s">
        <v>379</v>
      </c>
      <c r="C70" s="37" t="s">
        <v>380</v>
      </c>
    </row>
    <row r="72" spans="1:5" x14ac:dyDescent="0.35">
      <c r="A72" s="73" t="s">
        <v>253</v>
      </c>
      <c r="B72" s="46"/>
      <c r="C72" s="46"/>
      <c r="D72" s="46"/>
      <c r="E72" s="46"/>
    </row>
    <row r="73" spans="1:5" ht="72.5" x14ac:dyDescent="0.35">
      <c r="A73" s="74" t="s">
        <v>371</v>
      </c>
    </row>
    <row r="74" spans="1:5" ht="87" x14ac:dyDescent="0.35">
      <c r="A74" s="74" t="s">
        <v>378</v>
      </c>
    </row>
    <row r="75" spans="1:5" ht="72.5" x14ac:dyDescent="0.35">
      <c r="A75" s="74" t="s">
        <v>372</v>
      </c>
    </row>
    <row r="76" spans="1:5" ht="58" x14ac:dyDescent="0.35">
      <c r="A76" s="74" t="s">
        <v>373</v>
      </c>
    </row>
    <row r="77" spans="1:5" ht="72.5" x14ac:dyDescent="0.35">
      <c r="A77" s="74" t="s">
        <v>374</v>
      </c>
    </row>
    <row r="78" spans="1:5" ht="72.5" x14ac:dyDescent="0.35">
      <c r="A78" s="74" t="s">
        <v>375</v>
      </c>
    </row>
    <row r="79" spans="1:5" x14ac:dyDescent="0.35">
      <c r="A79" s="50"/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opLeftCell="A55" workbookViewId="0">
      <selection activeCell="A60" sqref="A60"/>
    </sheetView>
  </sheetViews>
  <sheetFormatPr defaultRowHeight="14.5" x14ac:dyDescent="0.35"/>
  <cols>
    <col min="1" max="1" width="60" customWidth="1"/>
    <col min="2" max="3" width="15" customWidth="1"/>
    <col min="4" max="4" width="20" customWidth="1"/>
    <col min="5" max="5" width="12" customWidth="1"/>
    <col min="6" max="6" width="22" customWidth="1"/>
    <col min="7" max="7" width="13" customWidth="1"/>
  </cols>
  <sheetData>
    <row r="1" spans="1:6" ht="21" customHeight="1" x14ac:dyDescent="0.5">
      <c r="A1" s="32" t="s">
        <v>286</v>
      </c>
    </row>
    <row r="2" spans="1:6" ht="36" x14ac:dyDescent="0.35">
      <c r="A2" s="75" t="s">
        <v>377</v>
      </c>
    </row>
    <row r="4" spans="1:6" x14ac:dyDescent="0.35">
      <c r="A4" s="46" t="s">
        <v>287</v>
      </c>
      <c r="B4" s="46"/>
      <c r="C4" s="46"/>
      <c r="D4" s="46"/>
      <c r="E4" s="46"/>
      <c r="F4" s="46"/>
    </row>
    <row r="5" spans="1:6" x14ac:dyDescent="0.35">
      <c r="A5" s="35" t="s">
        <v>272</v>
      </c>
      <c r="C5" s="36" t="s">
        <v>288</v>
      </c>
      <c r="D5" s="36" t="s">
        <v>289</v>
      </c>
      <c r="E5" s="36" t="s">
        <v>290</v>
      </c>
    </row>
    <row r="6" spans="1:6" x14ac:dyDescent="0.35">
      <c r="A6" s="37" t="s">
        <v>291</v>
      </c>
      <c r="C6" s="60">
        <v>119</v>
      </c>
      <c r="D6" s="60">
        <v>114</v>
      </c>
      <c r="E6" s="60">
        <v>109</v>
      </c>
    </row>
    <row r="7" spans="1:6" x14ac:dyDescent="0.35">
      <c r="A7" s="37" t="s">
        <v>292</v>
      </c>
      <c r="C7" s="60">
        <v>83</v>
      </c>
      <c r="D7" s="60">
        <v>80</v>
      </c>
      <c r="E7" s="60">
        <v>76</v>
      </c>
    </row>
    <row r="8" spans="1:6" x14ac:dyDescent="0.35">
      <c r="A8" s="37" t="s">
        <v>293</v>
      </c>
      <c r="C8" s="60">
        <v>36</v>
      </c>
      <c r="D8" s="60">
        <v>34</v>
      </c>
      <c r="E8" s="60">
        <v>33</v>
      </c>
    </row>
    <row r="9" spans="1:6" x14ac:dyDescent="0.35">
      <c r="A9" s="37" t="s">
        <v>294</v>
      </c>
      <c r="C9" s="60">
        <v>273</v>
      </c>
      <c r="D9" s="60">
        <v>262</v>
      </c>
      <c r="E9" s="60">
        <v>250</v>
      </c>
    </row>
    <row r="10" spans="1:6" x14ac:dyDescent="0.35">
      <c r="A10" s="37" t="s">
        <v>295</v>
      </c>
      <c r="C10" s="38">
        <f>C7+C9</f>
        <v>356</v>
      </c>
      <c r="D10" s="38">
        <f>D7+D9</f>
        <v>342</v>
      </c>
      <c r="E10" s="38">
        <f>E7+E9</f>
        <v>326</v>
      </c>
    </row>
    <row r="11" spans="1:6" x14ac:dyDescent="0.35">
      <c r="A11" s="37" t="s">
        <v>296</v>
      </c>
      <c r="C11" s="61">
        <v>0.45</v>
      </c>
      <c r="D11" s="61">
        <v>0.42499999999999999</v>
      </c>
      <c r="E11" s="61">
        <v>0.4</v>
      </c>
    </row>
    <row r="12" spans="1:6" x14ac:dyDescent="0.35">
      <c r="A12" s="37" t="s">
        <v>297</v>
      </c>
      <c r="C12" s="62">
        <v>1.2</v>
      </c>
      <c r="D12" s="62">
        <v>1.2</v>
      </c>
      <c r="E12" s="62">
        <v>1.2</v>
      </c>
    </row>
    <row r="13" spans="1:6" x14ac:dyDescent="0.35">
      <c r="A13" s="37" t="s">
        <v>298</v>
      </c>
      <c r="C13" s="62">
        <v>0.5</v>
      </c>
      <c r="D13" s="62">
        <v>0.5</v>
      </c>
      <c r="E13" s="62">
        <v>0.5</v>
      </c>
    </row>
    <row r="14" spans="1:6" x14ac:dyDescent="0.35">
      <c r="A14" s="37" t="s">
        <v>299</v>
      </c>
      <c r="C14" s="47">
        <f>C12/(1+Предпосылки!$C$42)</f>
        <v>1</v>
      </c>
      <c r="D14" s="47">
        <f>D12/(1+Предпосылки!$C$42)</f>
        <v>1</v>
      </c>
      <c r="E14" s="47">
        <f>E12/(1+Предпосылки!$C$42)</f>
        <v>1</v>
      </c>
    </row>
    <row r="15" spans="1:6" x14ac:dyDescent="0.35">
      <c r="A15" s="37" t="s">
        <v>300</v>
      </c>
      <c r="C15" s="47">
        <f>C13/(1+Предпосылки!$C$42)</f>
        <v>0.41666666666666669</v>
      </c>
      <c r="D15" s="47">
        <f>D13/(1+Предпосылки!$C$42)</f>
        <v>0.41666666666666669</v>
      </c>
      <c r="E15" s="47">
        <f>E13/(1+Предпосылки!$C$42)</f>
        <v>0.41666666666666669</v>
      </c>
    </row>
    <row r="16" spans="1:6" x14ac:dyDescent="0.35">
      <c r="A16" s="37" t="s">
        <v>301</v>
      </c>
      <c r="C16" s="38">
        <f>C6*Предпосылки!$C$7</f>
        <v>35.699999999999996</v>
      </c>
      <c r="D16" s="38">
        <f>D6*Предпосылки!$C$7</f>
        <v>34.199999999999996</v>
      </c>
      <c r="E16" s="38">
        <f>E6*Предпосылки!$C$7</f>
        <v>32.699999999999996</v>
      </c>
    </row>
    <row r="17" spans="1:5" x14ac:dyDescent="0.35">
      <c r="A17" s="37" t="s">
        <v>302</v>
      </c>
      <c r="C17" s="38">
        <f>C6*(1-Предпосылки!$C$7)</f>
        <v>83.3</v>
      </c>
      <c r="D17" s="38">
        <f>D6*(1-Предпосылки!$C$7)</f>
        <v>79.8</v>
      </c>
      <c r="E17" s="38">
        <f>E6*(1-Предпосылки!$C$7)</f>
        <v>76.3</v>
      </c>
    </row>
    <row r="18" spans="1:5" x14ac:dyDescent="0.35">
      <c r="A18" s="37" t="s">
        <v>303</v>
      </c>
      <c r="C18" s="63">
        <f>C16/(Предпосылки!$C$32*C11*Предпосылки!$C$35)</f>
        <v>132222.22222222222</v>
      </c>
      <c r="D18" s="63">
        <f>D16/(Предпосылки!$C$32*D11*Предпосылки!$C$35)</f>
        <v>134117.6470588235</v>
      </c>
      <c r="E18" s="63">
        <f>E16/(Предпосылки!$C$32*E11*Предпосылки!$C$35)</f>
        <v>136249.99999999997</v>
      </c>
    </row>
    <row r="19" spans="1:5" x14ac:dyDescent="0.35">
      <c r="A19" s="37" t="s">
        <v>304</v>
      </c>
      <c r="C19" s="63">
        <f>C17/(Предпосылки!$C$33*C11*Предпосылки!$C$35)</f>
        <v>92555.555555555533</v>
      </c>
      <c r="D19" s="63">
        <f>D17/(Предпосылки!$C$33*D11*Предпосылки!$C$35)</f>
        <v>93882.352941176461</v>
      </c>
      <c r="E19" s="63">
        <f>E17/(Предпосылки!$C$33*E11*Предпосылки!$C$35)</f>
        <v>95374.999999999985</v>
      </c>
    </row>
    <row r="20" spans="1:5" x14ac:dyDescent="0.35">
      <c r="A20" s="37" t="s">
        <v>305</v>
      </c>
      <c r="C20" s="38">
        <f>C18*(C14+C15)/1000</f>
        <v>187.31481481481484</v>
      </c>
      <c r="D20" s="38">
        <f>D18*(D14+D15)/1000</f>
        <v>189.99999999999997</v>
      </c>
      <c r="E20" s="38">
        <f>E18*(E14+E15)/1000</f>
        <v>193.02083333333331</v>
      </c>
    </row>
    <row r="21" spans="1:5" x14ac:dyDescent="0.35">
      <c r="A21" s="37" t="s">
        <v>306</v>
      </c>
      <c r="C21" s="38">
        <f>C19*Расчеты!P59/1000</f>
        <v>38.56481481481481</v>
      </c>
      <c r="D21" s="38">
        <f>D19*Расчеты!Q59/1000</f>
        <v>39.313235294117639</v>
      </c>
      <c r="E21" s="38">
        <f>E19*Расчеты!R59/1000</f>
        <v>40.137972656249985</v>
      </c>
    </row>
    <row r="22" spans="1:5" x14ac:dyDescent="0.35">
      <c r="A22" s="37" t="s">
        <v>307</v>
      </c>
      <c r="C22" s="38">
        <f>C10*Расчеты!P63/1000</f>
        <v>148.33333333333334</v>
      </c>
      <c r="D22" s="38">
        <f>D10*Расчеты!Q63/1000</f>
        <v>143.21249999999998</v>
      </c>
      <c r="E22" s="38">
        <f>E10*Расчеты!R63/1000</f>
        <v>137.19506249999998</v>
      </c>
    </row>
    <row r="23" spans="1:5" x14ac:dyDescent="0.35">
      <c r="A23" s="37" t="s">
        <v>308</v>
      </c>
      <c r="C23" s="38">
        <f>C7*2*Расчеты!P22</f>
        <v>276.66666666666669</v>
      </c>
      <c r="D23" s="38">
        <f>D7*2*Расчеты!Q22</f>
        <v>266.66666666666669</v>
      </c>
      <c r="E23" s="38">
        <f>E7*2*Расчеты!R22</f>
        <v>253.33333333333334</v>
      </c>
    </row>
    <row r="24" spans="1:5" x14ac:dyDescent="0.35">
      <c r="A24" s="37" t="s">
        <v>309</v>
      </c>
      <c r="C24" s="38">
        <f>C9*Расчеты!P24</f>
        <v>1137.5</v>
      </c>
      <c r="D24" s="38">
        <f>D9*Расчеты!Q24</f>
        <v>1091.6666666666667</v>
      </c>
      <c r="E24" s="38">
        <f>E9*Расчеты!R24</f>
        <v>1041.6666666666667</v>
      </c>
    </row>
    <row r="25" spans="1:5" x14ac:dyDescent="0.35">
      <c r="A25" s="37" t="s">
        <v>310</v>
      </c>
      <c r="C25" s="38">
        <f>SUM(C23:C24)</f>
        <v>1414.1666666666667</v>
      </c>
      <c r="D25" s="38">
        <f>SUM(D23:D24)</f>
        <v>1358.3333333333335</v>
      </c>
      <c r="E25" s="38">
        <f>SUM(E23:E24)</f>
        <v>1295</v>
      </c>
    </row>
    <row r="26" spans="1:5" x14ac:dyDescent="0.35">
      <c r="A26" s="37" t="s">
        <v>311</v>
      </c>
      <c r="C26" s="38">
        <f>-(C20+C21+C22)</f>
        <v>-374.21296296296299</v>
      </c>
      <c r="D26" s="38">
        <f>-(D20+D21+D22)</f>
        <v>-372.52573529411757</v>
      </c>
      <c r="E26" s="38">
        <f>-(E20+E21+E22)</f>
        <v>-370.35386848958331</v>
      </c>
    </row>
    <row r="27" spans="1:5" x14ac:dyDescent="0.35">
      <c r="A27" s="37" t="s">
        <v>312</v>
      </c>
      <c r="C27" s="38">
        <f>C25+C26</f>
        <v>1039.9537037037037</v>
      </c>
      <c r="D27" s="38">
        <f>D25+D26</f>
        <v>985.80759803921592</v>
      </c>
      <c r="E27" s="38">
        <f>E25+E26</f>
        <v>924.64613151041669</v>
      </c>
    </row>
    <row r="28" spans="1:5" x14ac:dyDescent="0.35">
      <c r="A28" s="37" t="s">
        <v>313</v>
      </c>
      <c r="C28" s="38">
        <f>Расчеты!P39</f>
        <v>-1451.16091954023</v>
      </c>
      <c r="D28" s="38">
        <f>Расчеты!Q39</f>
        <v>-1451.16091954023</v>
      </c>
      <c r="E28" s="38">
        <f>Расчеты!R39</f>
        <v>-1451.16091954023</v>
      </c>
    </row>
    <row r="29" spans="1:5" x14ac:dyDescent="0.35">
      <c r="A29" s="37" t="s">
        <v>314</v>
      </c>
      <c r="C29" s="38">
        <f>C27+C28</f>
        <v>-411.2072158365263</v>
      </c>
      <c r="D29" s="38">
        <f>D27+D28</f>
        <v>-465.35332150101408</v>
      </c>
      <c r="E29" s="38">
        <f>E27+E28</f>
        <v>-526.5147880298133</v>
      </c>
    </row>
    <row r="30" spans="1:5" x14ac:dyDescent="0.35">
      <c r="A30" s="37" t="s">
        <v>315</v>
      </c>
      <c r="C30" s="38">
        <f>Расчеты!P44</f>
        <v>-20</v>
      </c>
      <c r="D30" s="38">
        <f>Расчеты!Q44</f>
        <v>-20</v>
      </c>
      <c r="E30" s="38">
        <f>Расчеты!R44</f>
        <v>-20</v>
      </c>
    </row>
    <row r="31" spans="1:5" x14ac:dyDescent="0.35">
      <c r="A31" s="37" t="s">
        <v>316</v>
      </c>
      <c r="C31" s="38">
        <f>C29+C30</f>
        <v>-431.2072158365263</v>
      </c>
      <c r="D31" s="38">
        <f>D29+D30</f>
        <v>-485.35332150101408</v>
      </c>
      <c r="E31" s="38">
        <f>E29+E30</f>
        <v>-546.5147880298133</v>
      </c>
    </row>
    <row r="32" spans="1:5" x14ac:dyDescent="0.35">
      <c r="A32" s="37" t="s">
        <v>317</v>
      </c>
      <c r="C32" s="38">
        <f>Расчеты!P46</f>
        <v>-30</v>
      </c>
      <c r="D32" s="38">
        <f>Расчеты!Q46</f>
        <v>-30</v>
      </c>
      <c r="E32" s="38">
        <f>Расчеты!R46</f>
        <v>-30</v>
      </c>
    </row>
    <row r="33" spans="1:6" x14ac:dyDescent="0.35">
      <c r="A33" s="37" t="s">
        <v>318</v>
      </c>
      <c r="C33" s="38">
        <f>C31+C32</f>
        <v>-461.2072158365263</v>
      </c>
      <c r="D33" s="38">
        <f>D31+D32</f>
        <v>-515.35332150101408</v>
      </c>
      <c r="E33" s="38">
        <f>E31+E32</f>
        <v>-576.5147880298133</v>
      </c>
    </row>
    <row r="34" spans="1:6" x14ac:dyDescent="0.35">
      <c r="A34" s="37" t="s">
        <v>319</v>
      </c>
      <c r="C34" s="38">
        <f>Расчеты!O106+C33</f>
        <v>-2461.2072158365263</v>
      </c>
      <c r="D34" s="38">
        <f>C34+D33</f>
        <v>-2976.5605373375402</v>
      </c>
      <c r="E34" s="38">
        <f>D34+E33</f>
        <v>-3553.0753253673533</v>
      </c>
    </row>
    <row r="35" spans="1:6" x14ac:dyDescent="0.35">
      <c r="A35" s="37" t="s">
        <v>320</v>
      </c>
      <c r="C35" s="38">
        <f>-(MAX(MIN(C33,C34),0)*Предпосылки!$C$84)+0</f>
        <v>0</v>
      </c>
      <c r="D35" s="38">
        <f>-(MAX(MIN(D33,D34),0)*Предпосылки!$C$84)+0</f>
        <v>0</v>
      </c>
      <c r="E35" s="38">
        <f>-(MAX(MIN(E33,E34),0)*Предпосылки!$C$84)+0</f>
        <v>0</v>
      </c>
    </row>
    <row r="36" spans="1:6" x14ac:dyDescent="0.35">
      <c r="A36" s="37" t="s">
        <v>321</v>
      </c>
      <c r="C36" s="38">
        <f>C33+C35</f>
        <v>-461.2072158365263</v>
      </c>
      <c r="D36" s="38">
        <f>D33+D35</f>
        <v>-515.35332150101408</v>
      </c>
      <c r="E36" s="38">
        <f>E33+E35</f>
        <v>-576.5147880298133</v>
      </c>
    </row>
    <row r="39" spans="1:6" x14ac:dyDescent="0.35">
      <c r="A39" s="46" t="s">
        <v>322</v>
      </c>
      <c r="B39" s="46"/>
      <c r="C39" s="46"/>
      <c r="D39" s="46"/>
      <c r="E39" s="46"/>
      <c r="F39" s="46"/>
    </row>
    <row r="40" spans="1:6" x14ac:dyDescent="0.35">
      <c r="A40" s="64" t="s">
        <v>219</v>
      </c>
      <c r="B40" s="36" t="s">
        <v>323</v>
      </c>
      <c r="C40" s="36" t="s">
        <v>324</v>
      </c>
      <c r="D40" s="36" t="s">
        <v>325</v>
      </c>
      <c r="E40" s="36" t="s">
        <v>326</v>
      </c>
      <c r="F40" s="36" t="s">
        <v>327</v>
      </c>
    </row>
    <row r="41" spans="1:6" x14ac:dyDescent="0.35">
      <c r="A41" s="37" t="s">
        <v>105</v>
      </c>
      <c r="B41" s="38">
        <f>Расчеты!R33</f>
        <v>1831.9609055208332</v>
      </c>
      <c r="C41" s="38">
        <f>E25</f>
        <v>1295</v>
      </c>
      <c r="D41" s="38">
        <f t="shared" ref="D41:D54" si="0">C41-B41</f>
        <v>-536.96090552083319</v>
      </c>
      <c r="E41" s="65" t="s">
        <v>328</v>
      </c>
      <c r="F41" s="38">
        <f>D41</f>
        <v>-536.96090552083319</v>
      </c>
    </row>
    <row r="42" spans="1:6" x14ac:dyDescent="0.35">
      <c r="A42" s="39" t="s">
        <v>111</v>
      </c>
      <c r="B42" s="40">
        <f>Расчеты!R34</f>
        <v>-370.38893963436306</v>
      </c>
      <c r="C42" s="40">
        <f>E26</f>
        <v>-370.35386848958331</v>
      </c>
      <c r="D42" s="40">
        <f t="shared" si="0"/>
        <v>3.5071144779749375E-2</v>
      </c>
      <c r="E42" s="66"/>
      <c r="F42" s="40"/>
    </row>
    <row r="43" spans="1:6" x14ac:dyDescent="0.35">
      <c r="A43" s="37" t="s">
        <v>329</v>
      </c>
      <c r="B43" s="38">
        <f>Расчеты!R35</f>
        <v>-137.30096909221865</v>
      </c>
      <c r="C43" s="38">
        <f>-(E20)+0</f>
        <v>-193.02083333333331</v>
      </c>
      <c r="D43" s="38">
        <f t="shared" si="0"/>
        <v>-55.719864241114664</v>
      </c>
      <c r="E43" s="65" t="s">
        <v>328</v>
      </c>
      <c r="F43" s="38">
        <f>D43</f>
        <v>-55.719864241114664</v>
      </c>
    </row>
    <row r="44" spans="1:6" x14ac:dyDescent="0.35">
      <c r="A44" s="37" t="s">
        <v>330</v>
      </c>
      <c r="B44" s="38">
        <f>Расчеты!R36</f>
        <v>-40.04611598523045</v>
      </c>
      <c r="C44" s="38">
        <f>-(E21)+0</f>
        <v>-40.137972656249985</v>
      </c>
      <c r="D44" s="38">
        <f t="shared" si="0"/>
        <v>-9.1856671019534986E-2</v>
      </c>
      <c r="E44" s="65" t="s">
        <v>328</v>
      </c>
      <c r="F44" s="38">
        <f>D44</f>
        <v>-9.1856671019534986E-2</v>
      </c>
    </row>
    <row r="45" spans="1:6" x14ac:dyDescent="0.35">
      <c r="A45" s="37" t="s">
        <v>331</v>
      </c>
      <c r="B45" s="38">
        <f>Расчеты!R37</f>
        <v>-193.04185455691399</v>
      </c>
      <c r="C45" s="38">
        <f>-(E22)+0</f>
        <v>-137.19506249999998</v>
      </c>
      <c r="D45" s="38">
        <f t="shared" si="0"/>
        <v>55.846792056914012</v>
      </c>
      <c r="E45" s="65" t="s">
        <v>328</v>
      </c>
      <c r="F45" s="38">
        <f>D45</f>
        <v>55.846792056914012</v>
      </c>
    </row>
    <row r="46" spans="1:6" x14ac:dyDescent="0.35">
      <c r="A46" s="39" t="s">
        <v>115</v>
      </c>
      <c r="B46" s="40">
        <f>Расчеты!R38</f>
        <v>1461.57196588647</v>
      </c>
      <c r="C46" s="40">
        <f t="shared" ref="C46:C52" si="1">E27</f>
        <v>924.64613151041669</v>
      </c>
      <c r="D46" s="40">
        <f t="shared" si="0"/>
        <v>-536.92583437605333</v>
      </c>
      <c r="E46" s="66"/>
      <c r="F46" s="40"/>
    </row>
    <row r="47" spans="1:6" x14ac:dyDescent="0.35">
      <c r="A47" s="37" t="s">
        <v>36</v>
      </c>
      <c r="B47" s="38">
        <f>Расчеты!R39</f>
        <v>-1451.16091954023</v>
      </c>
      <c r="C47" s="38">
        <f t="shared" si="1"/>
        <v>-1451.16091954023</v>
      </c>
      <c r="D47" s="38">
        <f t="shared" si="0"/>
        <v>0</v>
      </c>
      <c r="E47" s="65" t="s">
        <v>328</v>
      </c>
      <c r="F47" s="38">
        <f>D47</f>
        <v>0</v>
      </c>
    </row>
    <row r="48" spans="1:6" x14ac:dyDescent="0.35">
      <c r="A48" s="39" t="s">
        <v>119</v>
      </c>
      <c r="B48" s="40">
        <f>Расчеты!R43</f>
        <v>10.411046346240028</v>
      </c>
      <c r="C48" s="40">
        <f t="shared" si="1"/>
        <v>-526.5147880298133</v>
      </c>
      <c r="D48" s="40">
        <f t="shared" si="0"/>
        <v>-536.92583437605333</v>
      </c>
      <c r="E48" s="66"/>
      <c r="F48" s="40"/>
    </row>
    <row r="49" spans="1:6" x14ac:dyDescent="0.35">
      <c r="A49" s="37" t="s">
        <v>120</v>
      </c>
      <c r="B49" s="38">
        <f>Расчеты!R44</f>
        <v>-20</v>
      </c>
      <c r="C49" s="38">
        <f t="shared" si="1"/>
        <v>-20</v>
      </c>
      <c r="D49" s="38">
        <f t="shared" si="0"/>
        <v>0</v>
      </c>
      <c r="E49" s="65" t="s">
        <v>328</v>
      </c>
      <c r="F49" s="38">
        <f>D49</f>
        <v>0</v>
      </c>
    </row>
    <row r="50" spans="1:6" x14ac:dyDescent="0.35">
      <c r="A50" s="39" t="s">
        <v>121</v>
      </c>
      <c r="B50" s="40">
        <f>Расчеты!R45</f>
        <v>-9.5889536537599724</v>
      </c>
      <c r="C50" s="40">
        <f t="shared" si="1"/>
        <v>-546.5147880298133</v>
      </c>
      <c r="D50" s="40">
        <f t="shared" si="0"/>
        <v>-536.92583437605333</v>
      </c>
      <c r="E50" s="66"/>
      <c r="F50" s="40"/>
    </row>
    <row r="51" spans="1:6" x14ac:dyDescent="0.35">
      <c r="A51" s="37" t="s">
        <v>122</v>
      </c>
      <c r="B51" s="38">
        <f>Расчеты!R46</f>
        <v>-30</v>
      </c>
      <c r="C51" s="38">
        <f t="shared" si="1"/>
        <v>-30</v>
      </c>
      <c r="D51" s="38">
        <f t="shared" si="0"/>
        <v>0</v>
      </c>
      <c r="E51" s="65" t="s">
        <v>328</v>
      </c>
      <c r="F51" s="38">
        <f>D51</f>
        <v>0</v>
      </c>
    </row>
    <row r="52" spans="1:6" x14ac:dyDescent="0.35">
      <c r="A52" s="39" t="s">
        <v>123</v>
      </c>
      <c r="B52" s="40">
        <f>Расчеты!R47</f>
        <v>-39.588953653759972</v>
      </c>
      <c r="C52" s="40">
        <f t="shared" si="1"/>
        <v>-576.5147880298133</v>
      </c>
      <c r="D52" s="40">
        <f t="shared" si="0"/>
        <v>-536.92583437605333</v>
      </c>
      <c r="E52" s="66"/>
      <c r="F52" s="40"/>
    </row>
    <row r="53" spans="1:6" x14ac:dyDescent="0.35">
      <c r="A53" s="37" t="s">
        <v>71</v>
      </c>
      <c r="B53" s="38">
        <f>Расчеты!R48</f>
        <v>0</v>
      </c>
      <c r="C53" s="38">
        <f>E35</f>
        <v>0</v>
      </c>
      <c r="D53" s="38">
        <f t="shared" si="0"/>
        <v>0</v>
      </c>
      <c r="E53" s="65" t="s">
        <v>328</v>
      </c>
      <c r="F53" s="38">
        <f>D53</f>
        <v>0</v>
      </c>
    </row>
    <row r="54" spans="1:6" x14ac:dyDescent="0.35">
      <c r="A54" s="56" t="s">
        <v>124</v>
      </c>
      <c r="B54" s="57">
        <f>Расчеты!R49</f>
        <v>-39.588953653759972</v>
      </c>
      <c r="C54" s="57">
        <f>E36</f>
        <v>-576.5147880298133</v>
      </c>
      <c r="D54" s="57">
        <f t="shared" si="0"/>
        <v>-536.92583437605333</v>
      </c>
      <c r="E54" s="67"/>
      <c r="F54" s="57"/>
    </row>
    <row r="55" spans="1:6" x14ac:dyDescent="0.35">
      <c r="A55" s="46"/>
      <c r="B55" s="46"/>
      <c r="C55" s="46"/>
      <c r="D55" s="46"/>
      <c r="E55" s="46"/>
      <c r="F55" s="46"/>
    </row>
    <row r="56" spans="1:6" x14ac:dyDescent="0.35">
      <c r="A56" s="1" t="s">
        <v>332</v>
      </c>
    </row>
    <row r="57" spans="1:6" x14ac:dyDescent="0.35">
      <c r="A57" s="37" t="s">
        <v>333</v>
      </c>
      <c r="B57" s="37" t="s">
        <v>105</v>
      </c>
      <c r="C57" s="55">
        <f>SMALL($F$41:$F$54,1)</f>
        <v>-536.96090552083319</v>
      </c>
    </row>
    <row r="58" spans="1:6" x14ac:dyDescent="0.35">
      <c r="A58" s="37" t="s">
        <v>334</v>
      </c>
      <c r="B58" s="37" t="s">
        <v>381</v>
      </c>
      <c r="C58" s="55">
        <f>SMALL($F$41:$F$54,2)</f>
        <v>-55.719864241114664</v>
      </c>
    </row>
    <row r="59" spans="1:6" x14ac:dyDescent="0.35">
      <c r="A59" s="37" t="s">
        <v>335</v>
      </c>
      <c r="B59" s="37" t="s">
        <v>382</v>
      </c>
      <c r="C59" s="55">
        <f>SMALL($F$41:$F$54,3)</f>
        <v>-9.1856671019534986E-2</v>
      </c>
    </row>
    <row r="60" spans="1:6" x14ac:dyDescent="0.35">
      <c r="A60" t="s">
        <v>383</v>
      </c>
    </row>
    <row r="61" spans="1:6" x14ac:dyDescent="0.35">
      <c r="A61" s="46"/>
      <c r="B61" s="46"/>
      <c r="C61" s="46"/>
      <c r="D61" s="46"/>
      <c r="E61" s="46"/>
      <c r="F61" s="46"/>
    </row>
    <row r="62" spans="1:6" x14ac:dyDescent="0.35">
      <c r="A62" s="59"/>
    </row>
    <row r="63" spans="1:6" ht="29" x14ac:dyDescent="0.35">
      <c r="A63" s="64" t="s">
        <v>336</v>
      </c>
      <c r="B63" s="36"/>
      <c r="C63" s="36"/>
      <c r="D63" s="36"/>
      <c r="E63" s="36"/>
    </row>
    <row r="64" spans="1:6" x14ac:dyDescent="0.35">
      <c r="A64" s="37" t="s">
        <v>337</v>
      </c>
      <c r="B64" s="38"/>
      <c r="C64" s="45"/>
      <c r="D64" s="47"/>
      <c r="E64" s="38"/>
    </row>
    <row r="65" spans="1:6" x14ac:dyDescent="0.35">
      <c r="A65" s="37" t="s">
        <v>338</v>
      </c>
      <c r="B65" s="38" t="s">
        <v>339</v>
      </c>
      <c r="C65" s="45" t="s">
        <v>340</v>
      </c>
      <c r="D65" s="47" t="s">
        <v>341</v>
      </c>
      <c r="E65" s="38" t="s">
        <v>342</v>
      </c>
    </row>
    <row r="66" spans="1:6" x14ac:dyDescent="0.35">
      <c r="A66" s="37" t="s">
        <v>343</v>
      </c>
      <c r="B66" s="38">
        <f>Расчеты!R15</f>
        <v>40.78145662499999</v>
      </c>
      <c r="C66" s="45">
        <f>Предпосылки!$C$34</f>
        <v>0.5</v>
      </c>
      <c r="D66" s="47">
        <f>(Расчеты!R53+Расчеты!R55)</f>
        <v>1.0100249999999997</v>
      </c>
      <c r="E66" s="38">
        <f>(B66/(Предпосылки!$C$32*C66*Предпосылки!$C$35))*D66/1000</f>
        <v>137.30096909221865</v>
      </c>
    </row>
    <row r="67" spans="1:6" x14ac:dyDescent="0.35">
      <c r="A67" s="56" t="s">
        <v>344</v>
      </c>
      <c r="B67" s="57">
        <f>E16</f>
        <v>32.699999999999996</v>
      </c>
      <c r="C67" s="68">
        <f>Предпосылки!$C$34</f>
        <v>0.5</v>
      </c>
      <c r="D67" s="69">
        <f>(Расчеты!R53+Расчеты!R55)</f>
        <v>1.0100249999999997</v>
      </c>
      <c r="E67" s="57">
        <f>(B67/(Предпосылки!$C$32*C67*Предпосылки!$C$35))*D67/1000</f>
        <v>110.09272499999994</v>
      </c>
    </row>
    <row r="68" spans="1:6" x14ac:dyDescent="0.35">
      <c r="A68" t="s">
        <v>345</v>
      </c>
      <c r="B68" s="23">
        <f>E16</f>
        <v>32.699999999999996</v>
      </c>
      <c r="C68" s="31">
        <f>E11</f>
        <v>0.4</v>
      </c>
      <c r="D68" s="30">
        <f>(Расчеты!R53+Расчеты!R55)</f>
        <v>1.0100249999999997</v>
      </c>
      <c r="E68" s="23">
        <f>(B68/(Предпосылки!$C$32*C68*Предпосылки!$C$35))*D68/1000</f>
        <v>137.61590624999994</v>
      </c>
    </row>
    <row r="69" spans="1:6" x14ac:dyDescent="0.35">
      <c r="A69" s="37" t="s">
        <v>346</v>
      </c>
      <c r="B69" s="23">
        <f>E16</f>
        <v>32.699999999999996</v>
      </c>
      <c r="C69" s="31">
        <f>E11</f>
        <v>0.4</v>
      </c>
      <c r="D69" s="30">
        <f>(E14+E15)</f>
        <v>1.4166666666666667</v>
      </c>
      <c r="E69" s="55">
        <f>(B69/(Предпосылки!$C$32*C69*Предпосылки!$C$35))*D69/1000</f>
        <v>193.02083333333331</v>
      </c>
    </row>
    <row r="70" spans="1:6" x14ac:dyDescent="0.35">
      <c r="A70" s="37"/>
      <c r="E70" s="55"/>
    </row>
    <row r="71" spans="1:6" x14ac:dyDescent="0.35">
      <c r="A71" s="37" t="s">
        <v>347</v>
      </c>
      <c r="E71" s="55">
        <f>E67-E66</f>
        <v>-27.208244092218706</v>
      </c>
    </row>
    <row r="72" spans="1:6" x14ac:dyDescent="0.35">
      <c r="A72" s="41" t="s">
        <v>348</v>
      </c>
      <c r="E72" s="42">
        <f>E68-E67</f>
        <v>27.523181249999993</v>
      </c>
    </row>
    <row r="73" spans="1:6" x14ac:dyDescent="0.35">
      <c r="A73" t="s">
        <v>349</v>
      </c>
      <c r="E73" s="23">
        <f>E69-E68</f>
        <v>55.404927083333376</v>
      </c>
    </row>
    <row r="74" spans="1:6" x14ac:dyDescent="0.35">
      <c r="A74" s="46" t="s">
        <v>350</v>
      </c>
      <c r="B74" s="46"/>
      <c r="C74" s="46"/>
      <c r="D74" s="46"/>
      <c r="E74" s="70">
        <f>E69-E66</f>
        <v>55.719864241114664</v>
      </c>
      <c r="F74" s="46"/>
    </row>
    <row r="75" spans="1:6" x14ac:dyDescent="0.35">
      <c r="A75" s="59"/>
    </row>
    <row r="76" spans="1:6" ht="29" x14ac:dyDescent="0.35">
      <c r="A76" s="64" t="s">
        <v>351</v>
      </c>
      <c r="B76" s="36"/>
      <c r="C76" s="36"/>
      <c r="D76" s="36"/>
      <c r="E76" s="36"/>
    </row>
    <row r="77" spans="1:6" x14ac:dyDescent="0.35">
      <c r="A77" s="37" t="s">
        <v>352</v>
      </c>
      <c r="B77" s="38"/>
      <c r="C77" s="45"/>
      <c r="D77" s="47"/>
      <c r="E77" s="38"/>
    </row>
    <row r="78" spans="1:6" x14ac:dyDescent="0.35">
      <c r="A78" s="37" t="s">
        <v>338</v>
      </c>
      <c r="B78" s="38" t="s">
        <v>353</v>
      </c>
      <c r="C78" s="45" t="s">
        <v>340</v>
      </c>
      <c r="D78" s="47" t="s">
        <v>354</v>
      </c>
      <c r="E78" s="38" t="s">
        <v>355</v>
      </c>
    </row>
    <row r="79" spans="1:6" x14ac:dyDescent="0.35">
      <c r="A79" s="56" t="s">
        <v>343</v>
      </c>
      <c r="B79" s="57">
        <f>Расчеты!R16</f>
        <v>95.156732124999976</v>
      </c>
      <c r="C79" s="68">
        <f>Предпосылки!$C$34</f>
        <v>0.5</v>
      </c>
      <c r="D79" s="69">
        <f>Расчеты!R59</f>
        <v>0.42084374999999991</v>
      </c>
      <c r="E79" s="57">
        <f>(B79/(Предпосылки!$C$33*C79*Предпосылки!$C$35))*D79/1000</f>
        <v>40.04611598523045</v>
      </c>
    </row>
    <row r="80" spans="1:6" x14ac:dyDescent="0.35">
      <c r="A80" t="s">
        <v>344</v>
      </c>
      <c r="B80" s="23">
        <f>E17</f>
        <v>76.3</v>
      </c>
      <c r="C80" s="31">
        <f>Предпосылки!$C$34</f>
        <v>0.5</v>
      </c>
      <c r="D80" s="30">
        <f>Расчеты!R59</f>
        <v>0.42084374999999991</v>
      </c>
      <c r="E80" s="23">
        <f>(B80/(Предпосылки!$C$33*C80*Предпосылки!$C$35))*D80/1000</f>
        <v>32.11037812499999</v>
      </c>
    </row>
    <row r="81" spans="1:5" x14ac:dyDescent="0.35">
      <c r="A81" s="37" t="s">
        <v>356</v>
      </c>
      <c r="B81" s="23">
        <f>E17</f>
        <v>76.3</v>
      </c>
      <c r="C81" s="31">
        <f>E11</f>
        <v>0.4</v>
      </c>
      <c r="D81" s="30">
        <f>Расчеты!R59</f>
        <v>0.42084374999999991</v>
      </c>
      <c r="E81" s="55">
        <f>(B81/(Предпосылки!$C$33*C81*Предпосылки!$C$35))*D81/1000</f>
        <v>40.137972656249985</v>
      </c>
    </row>
    <row r="82" spans="1:5" x14ac:dyDescent="0.35">
      <c r="A82" s="37"/>
      <c r="E82" s="55"/>
    </row>
    <row r="83" spans="1:5" x14ac:dyDescent="0.35">
      <c r="A83" s="41" t="s">
        <v>347</v>
      </c>
      <c r="B83" s="41"/>
      <c r="C83" s="41"/>
      <c r="D83" s="41"/>
      <c r="E83" s="42">
        <f>E80-E79</f>
        <v>-7.9357378602304607</v>
      </c>
    </row>
    <row r="84" spans="1:5" x14ac:dyDescent="0.35">
      <c r="A84" t="s">
        <v>348</v>
      </c>
      <c r="E84" s="23">
        <f>E81-E80</f>
        <v>8.0275945312499957</v>
      </c>
    </row>
    <row r="85" spans="1:5" x14ac:dyDescent="0.35">
      <c r="A85" t="s">
        <v>350</v>
      </c>
      <c r="E85" s="23">
        <f>E81-E79</f>
        <v>9.1856671019534986E-2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showGridLines="0" workbookViewId="0">
      <selection activeCell="J18" sqref="J18"/>
    </sheetView>
  </sheetViews>
  <sheetFormatPr defaultRowHeight="14.5" x14ac:dyDescent="0.35"/>
  <cols>
    <col min="1" max="1" width="44" customWidth="1"/>
    <col min="2" max="39" width="11" customWidth="1"/>
  </cols>
  <sheetData>
    <row r="1" spans="1:37" ht="21" customHeight="1" x14ac:dyDescent="0.5">
      <c r="A1" s="76" t="s">
        <v>376</v>
      </c>
    </row>
    <row r="3" spans="1:37" x14ac:dyDescent="0.35">
      <c r="A3" s="20" t="s">
        <v>357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x14ac:dyDescent="0.35">
      <c r="A4" s="71" t="s">
        <v>264</v>
      </c>
      <c r="B4" s="72">
        <f>Расчеты!P1</f>
        <v>44562</v>
      </c>
      <c r="C4" s="72">
        <f>Расчеты!Q1</f>
        <v>44593</v>
      </c>
      <c r="D4" s="72">
        <f>Расчеты!R1</f>
        <v>44621</v>
      </c>
      <c r="E4" s="72">
        <f>Расчеты!S1</f>
        <v>44652</v>
      </c>
      <c r="F4" s="72">
        <f>Расчеты!T1</f>
        <v>44682</v>
      </c>
      <c r="G4" s="72">
        <f>Расчеты!U1</f>
        <v>44713</v>
      </c>
      <c r="H4" s="72">
        <f>Расчеты!V1</f>
        <v>44743</v>
      </c>
      <c r="I4" s="72">
        <f>Расчеты!W1</f>
        <v>44774</v>
      </c>
      <c r="J4" s="72">
        <f>Расчеты!X1</f>
        <v>44805</v>
      </c>
      <c r="K4" s="72">
        <f>Расчеты!Y1</f>
        <v>44835</v>
      </c>
      <c r="L4" s="72">
        <f>Расчеты!Z1</f>
        <v>44866</v>
      </c>
      <c r="M4" s="72">
        <f>Расчеты!AA1</f>
        <v>44896</v>
      </c>
      <c r="N4" s="72">
        <f>Расчеты!AB1</f>
        <v>44927</v>
      </c>
      <c r="O4" s="72">
        <f>Расчеты!AC1</f>
        <v>44958</v>
      </c>
      <c r="P4" s="72">
        <f>Расчеты!AD1</f>
        <v>44986</v>
      </c>
      <c r="Q4" s="72">
        <f>Расчеты!AE1</f>
        <v>45017</v>
      </c>
      <c r="R4" s="72">
        <f>Расчеты!AF1</f>
        <v>45047</v>
      </c>
      <c r="S4" s="72">
        <f>Расчеты!AG1</f>
        <v>45078</v>
      </c>
      <c r="T4" s="72">
        <f>Расчеты!AH1</f>
        <v>45108</v>
      </c>
      <c r="U4" s="72">
        <f>Расчеты!AI1</f>
        <v>45139</v>
      </c>
      <c r="V4" s="72">
        <f>Расчеты!AJ1</f>
        <v>45170</v>
      </c>
      <c r="W4" s="72">
        <f>Расчеты!AK1</f>
        <v>45200</v>
      </c>
      <c r="X4" s="72">
        <f>Расчеты!AL1</f>
        <v>45231</v>
      </c>
      <c r="Y4" s="72">
        <f>Расчеты!AM1</f>
        <v>45261</v>
      </c>
      <c r="Z4" s="72">
        <f>Расчеты!AN1</f>
        <v>45292</v>
      </c>
      <c r="AA4" s="72">
        <f>Расчеты!AO1</f>
        <v>45323</v>
      </c>
      <c r="AB4" s="72">
        <f>Расчеты!AP1</f>
        <v>45352</v>
      </c>
      <c r="AC4" s="72">
        <f>Расчеты!AQ1</f>
        <v>45383</v>
      </c>
      <c r="AD4" s="72">
        <f>Расчеты!AR1</f>
        <v>45413</v>
      </c>
      <c r="AE4" s="72">
        <f>Расчеты!AS1</f>
        <v>45444</v>
      </c>
      <c r="AF4" s="72">
        <f>Расчеты!AT1</f>
        <v>45474</v>
      </c>
      <c r="AG4" s="72">
        <f>Расчеты!AU1</f>
        <v>45505</v>
      </c>
      <c r="AH4" s="72">
        <f>Расчеты!AV1</f>
        <v>45536</v>
      </c>
      <c r="AI4" s="72">
        <f>Расчеты!AW1</f>
        <v>45566</v>
      </c>
      <c r="AJ4" s="72">
        <f>Расчеты!AX1</f>
        <v>45597</v>
      </c>
      <c r="AK4" s="72">
        <f>Расчеты!AY1</f>
        <v>45627</v>
      </c>
    </row>
    <row r="5" spans="1:37" x14ac:dyDescent="0.35">
      <c r="A5" s="37" t="s">
        <v>105</v>
      </c>
      <c r="B5" s="38">
        <f>Расчеты!P33</f>
        <v>1735.3208333333337</v>
      </c>
      <c r="C5" s="38">
        <f>Расчеты!Q33</f>
        <v>1782.3506458333331</v>
      </c>
      <c r="D5" s="38">
        <f>Расчеты!R33</f>
        <v>1831.9609055208332</v>
      </c>
      <c r="E5" s="38">
        <f>Расчеты!S33</f>
        <v>1884.1903191036458</v>
      </c>
      <c r="F5" s="38">
        <f>Расчеты!T33</f>
        <v>1939.0781738902006</v>
      </c>
      <c r="G5" s="38">
        <f>Расчеты!U33</f>
        <v>1034.4190926841873</v>
      </c>
      <c r="H5" s="38">
        <f>Расчеты!V33</f>
        <v>1051.5603773468968</v>
      </c>
      <c r="I5" s="38">
        <f>Расчеты!W33</f>
        <v>1069.4509687795471</v>
      </c>
      <c r="J5" s="38">
        <f>Расчеты!X33</f>
        <v>2208.1246704431946</v>
      </c>
      <c r="K5" s="38">
        <f>Расчеты!Y33</f>
        <v>2267.2294943205566</v>
      </c>
      <c r="L5" s="38">
        <f>Расчеты!Z33</f>
        <v>2316.2615155560793</v>
      </c>
      <c r="M5" s="38">
        <f>Расчеты!AA33</f>
        <v>2355.2665171101344</v>
      </c>
      <c r="N5" s="38">
        <f>Расчеты!AB33</f>
        <v>2394.8565936874998</v>
      </c>
      <c r="O5" s="38">
        <f>Расчеты!AC33</f>
        <v>2435.0405214135262</v>
      </c>
      <c r="P5" s="38">
        <f>Расчеты!AD33</f>
        <v>2475.8272080554439</v>
      </c>
      <c r="Q5" s="38">
        <f>Расчеты!AE33</f>
        <v>2517.2256949969897</v>
      </c>
      <c r="R5" s="38">
        <f>Расчеты!AF33</f>
        <v>2559.2451592426582</v>
      </c>
      <c r="S5" s="38">
        <f>Расчеты!AG33</f>
        <v>1356.4145678541668</v>
      </c>
      <c r="T5" s="38">
        <f>Расчеты!AH33</f>
        <v>1369.4175899947147</v>
      </c>
      <c r="U5" s="38">
        <f>Расчеты!AI33</f>
        <v>1382.6156574673705</v>
      </c>
      <c r="V5" s="38">
        <f>Расчеты!AJ33</f>
        <v>2812.0591390902405</v>
      </c>
      <c r="W5" s="38">
        <f>Расчеты!AK33</f>
        <v>2859.5893806080744</v>
      </c>
      <c r="X5" s="38">
        <f>Расчеты!AL33</f>
        <v>2907.8325757486746</v>
      </c>
      <c r="Y5" s="38">
        <f>Расчеты!AM33</f>
        <v>2956.7994188163834</v>
      </c>
      <c r="Z5" s="38">
        <f>Расчеты!AN33</f>
        <v>3006.5007645301093</v>
      </c>
      <c r="AA5" s="38">
        <f>Расчеты!AO33</f>
        <v>3056.9476304295399</v>
      </c>
      <c r="AB5" s="38">
        <f>Расчеты!AP33</f>
        <v>3108.1511993174622</v>
      </c>
      <c r="AC5" s="38">
        <f>Расчеты!AQ33</f>
        <v>3160.1228217387038</v>
      </c>
      <c r="AD5" s="38">
        <f>Расчеты!AR33</f>
        <v>3212.8740184962635</v>
      </c>
      <c r="AE5" s="38">
        <f>Расчеты!AS33</f>
        <v>1702.841600629665</v>
      </c>
      <c r="AF5" s="38">
        <f>Расчеты!AT33</f>
        <v>1719.1655826625781</v>
      </c>
      <c r="AG5" s="38">
        <f>Расчеты!AU33</f>
        <v>1735.7344244259853</v>
      </c>
      <c r="AH5" s="38">
        <f>Расчеты!AV33</f>
        <v>3530.2564562168081</v>
      </c>
      <c r="AI5" s="38">
        <f>Расчеты!AW33</f>
        <v>3589.9258776921188</v>
      </c>
      <c r="AJ5" s="38">
        <f>Расчеты!AX33</f>
        <v>3650.490340489559</v>
      </c>
      <c r="AK5" s="38">
        <f>Расчеты!AY33</f>
        <v>3711.9632702289605</v>
      </c>
    </row>
    <row r="6" spans="1:37" x14ac:dyDescent="0.35">
      <c r="A6" s="37" t="s">
        <v>119</v>
      </c>
      <c r="B6" s="38">
        <f>Расчеты!P43</f>
        <v>-67.504669540229543</v>
      </c>
      <c r="C6" s="38">
        <f>Расчеты!Q43</f>
        <v>-29.645023550646783</v>
      </c>
      <c r="D6" s="38">
        <f>Расчеты!R43</f>
        <v>10.411046346240028</v>
      </c>
      <c r="E6" s="38">
        <f>Расчеты!S43</f>
        <v>52.69259103151785</v>
      </c>
      <c r="F6" s="38">
        <f>Расчеты!T43</f>
        <v>97.229033678880796</v>
      </c>
      <c r="G6" s="38">
        <f>Расчеты!U43</f>
        <v>-616.1180812221935</v>
      </c>
      <c r="H6" s="38">
        <f>Расчеты!V43</f>
        <v>-603.13873788233514</v>
      </c>
      <c r="I6" s="38">
        <f>Расчеты!W43</f>
        <v>-589.5429765001561</v>
      </c>
      <c r="J6" s="38">
        <f>Расчеты!X43</f>
        <v>329.27215286705473</v>
      </c>
      <c r="K6" s="38">
        <f>Расчеты!Y43</f>
        <v>377.20289207779592</v>
      </c>
      <c r="L6" s="38">
        <f>Расчеты!Z43</f>
        <v>415.92069553065289</v>
      </c>
      <c r="M6" s="38">
        <f>Расчеты!AA43</f>
        <v>445.47970716256191</v>
      </c>
      <c r="N6" s="38">
        <f>Расчеты!AB43</f>
        <v>402.87397607598314</v>
      </c>
      <c r="O6" s="38">
        <f>Расчеты!AC43</f>
        <v>433.22450981452653</v>
      </c>
      <c r="P6" s="38">
        <f>Расчеты!AD43</f>
        <v>463.97823207880401</v>
      </c>
      <c r="Q6" s="38">
        <f>Расчеты!AE43</f>
        <v>495.14016705194081</v>
      </c>
      <c r="R6" s="38">
        <f>Расчеты!AF43</f>
        <v>526.7153938383924</v>
      </c>
      <c r="S6" s="38">
        <f>Расчеты!AG43</f>
        <v>-426.09200005352386</v>
      </c>
      <c r="T6" s="38">
        <f>Расчеты!AH43</f>
        <v>-417.5555281442505</v>
      </c>
      <c r="U6" s="38">
        <f>Расчеты!AI43</f>
        <v>-408.91003384432861</v>
      </c>
      <c r="V6" s="38">
        <f>Расчеты!AJ43</f>
        <v>741.43818416092859</v>
      </c>
      <c r="W6" s="38">
        <f>Расчеты!AK43</f>
        <v>777.45058996989542</v>
      </c>
      <c r="X6" s="38">
        <f>Расчеты!AL43</f>
        <v>813.94203495841543</v>
      </c>
      <c r="Y6" s="38">
        <f>Расчеты!AM43</f>
        <v>850.91850412892768</v>
      </c>
      <c r="Z6" s="38">
        <f>Расчеты!AN43</f>
        <v>812.20010001599007</v>
      </c>
      <c r="AA6" s="38">
        <f>Расчеты!AO43</f>
        <v>850.16483629638128</v>
      </c>
      <c r="AB6" s="38">
        <f>Расчеты!AP43</f>
        <v>888.63294863854549</v>
      </c>
      <c r="AC6" s="38">
        <f>Расчеты!AQ43</f>
        <v>927.61068830838281</v>
      </c>
      <c r="AD6" s="38">
        <f>Расчеты!AR43</f>
        <v>967.10437439323709</v>
      </c>
      <c r="AE6" s="38">
        <f>Расчеты!AS43</f>
        <v>-225.55827644364194</v>
      </c>
      <c r="AF6" s="38">
        <f>Расчеты!AT43</f>
        <v>-214.90396034780883</v>
      </c>
      <c r="AG6" s="38">
        <f>Расчеты!AU43</f>
        <v>-204.11397871291479</v>
      </c>
      <c r="AH6" s="38">
        <f>Расчеты!AV43</f>
        <v>1236.1353308652695</v>
      </c>
      <c r="AI6" s="38">
        <f>Расчеты!AW43</f>
        <v>1281.1844576150886</v>
      </c>
      <c r="AJ6" s="38">
        <f>Расчеты!AX43</f>
        <v>1326.8317037490303</v>
      </c>
      <c r="AK6" s="38">
        <f>Расчеты!AY43</f>
        <v>1373.0845170814143</v>
      </c>
    </row>
    <row r="7" spans="1:37" x14ac:dyDescent="0.35">
      <c r="A7" s="37" t="s">
        <v>124</v>
      </c>
      <c r="B7" s="38">
        <f>Расчеты!P49</f>
        <v>-117.50466954022954</v>
      </c>
      <c r="C7" s="38">
        <f>Расчеты!Q49</f>
        <v>-79.645023550646783</v>
      </c>
      <c r="D7" s="38">
        <f>Расчеты!R49</f>
        <v>-39.588953653759972</v>
      </c>
      <c r="E7" s="38">
        <f>Расчеты!S49</f>
        <v>2.6925910315178498</v>
      </c>
      <c r="F7" s="38">
        <f>Расчеты!T49</f>
        <v>47.229033678880796</v>
      </c>
      <c r="G7" s="38">
        <f>Расчеты!U49</f>
        <v>-666.1180812221935</v>
      </c>
      <c r="H7" s="38">
        <f>Расчеты!V49</f>
        <v>-653.13873788233514</v>
      </c>
      <c r="I7" s="38">
        <f>Расчеты!W49</f>
        <v>-639.5429765001561</v>
      </c>
      <c r="J7" s="38">
        <f>Расчеты!X49</f>
        <v>279.27215286705473</v>
      </c>
      <c r="K7" s="38">
        <f>Расчеты!Y49</f>
        <v>327.20289207779592</v>
      </c>
      <c r="L7" s="38">
        <f>Расчеты!Z49</f>
        <v>365.92069553065289</v>
      </c>
      <c r="M7" s="38">
        <f>Расчеты!AA49</f>
        <v>395.47970716256191</v>
      </c>
      <c r="N7" s="38">
        <f>Расчеты!AB49</f>
        <v>360.87397607598314</v>
      </c>
      <c r="O7" s="38">
        <f>Расчеты!AC49</f>
        <v>391.22450981452653</v>
      </c>
      <c r="P7" s="38">
        <f>Расчеты!AD49</f>
        <v>421.97823207880401</v>
      </c>
      <c r="Q7" s="38">
        <f>Расчеты!AE49</f>
        <v>453.14016705194081</v>
      </c>
      <c r="R7" s="38">
        <f>Расчеты!AF49</f>
        <v>484.7153938383924</v>
      </c>
      <c r="S7" s="38">
        <f>Расчеты!AG49</f>
        <v>-468.09200005352386</v>
      </c>
      <c r="T7" s="38">
        <f>Расчеты!AH49</f>
        <v>-459.5555281442505</v>
      </c>
      <c r="U7" s="38">
        <f>Расчеты!AI49</f>
        <v>-450.91003384432861</v>
      </c>
      <c r="V7" s="38">
        <f>Расчеты!AJ49</f>
        <v>699.43818416092859</v>
      </c>
      <c r="W7" s="38">
        <f>Расчеты!AK49</f>
        <v>735.45058996989542</v>
      </c>
      <c r="X7" s="38">
        <f>Расчеты!AL49</f>
        <v>739.44920377723042</v>
      </c>
      <c r="Y7" s="38">
        <f>Расчеты!AM49</f>
        <v>647.13480330314212</v>
      </c>
      <c r="Z7" s="38">
        <f>Расчеты!AN49</f>
        <v>622.56008001279201</v>
      </c>
      <c r="AA7" s="38">
        <f>Расчеты!AO49</f>
        <v>652.931869037105</v>
      </c>
      <c r="AB7" s="38">
        <f>Расчеты!AP49</f>
        <v>683.70635891083634</v>
      </c>
      <c r="AC7" s="38">
        <f>Расчеты!AQ49</f>
        <v>714.88855064670622</v>
      </c>
      <c r="AD7" s="38">
        <f>Расчеты!AR49</f>
        <v>746.48349951458965</v>
      </c>
      <c r="AE7" s="38">
        <f>Расчеты!AS49</f>
        <v>-259.55827644364194</v>
      </c>
      <c r="AF7" s="38">
        <f>Расчеты!AT49</f>
        <v>-248.90396034780883</v>
      </c>
      <c r="AG7" s="38">
        <f>Расчеты!AU49</f>
        <v>-238.11397871291479</v>
      </c>
      <c r="AH7" s="38">
        <f>Расчеты!AV49</f>
        <v>961.70826469221561</v>
      </c>
      <c r="AI7" s="38">
        <f>Расчеты!AW49</f>
        <v>997.74756609207088</v>
      </c>
      <c r="AJ7" s="38">
        <f>Расчеты!AX49</f>
        <v>1034.2653629992242</v>
      </c>
      <c r="AK7" s="38">
        <f>Расчеты!AY49</f>
        <v>1071.2676136651314</v>
      </c>
    </row>
    <row r="8" spans="1:37" x14ac:dyDescent="0.35">
      <c r="A8" s="37" t="s">
        <v>358</v>
      </c>
      <c r="B8" s="38">
        <f>Расчеты!P116</f>
        <v>2372.4953304597707</v>
      </c>
      <c r="C8" s="38">
        <f>Расчеты!Q116</f>
        <v>2312.8503069091239</v>
      </c>
      <c r="D8" s="38">
        <f>Расчеты!R116</f>
        <v>2293.2613532553642</v>
      </c>
      <c r="E8" s="38">
        <f>Расчеты!S116</f>
        <v>2315.9539442868818</v>
      </c>
      <c r="F8" s="38">
        <f>Расчеты!T116</f>
        <v>2383.1829779657628</v>
      </c>
      <c r="G8" s="38">
        <f>Расчеты!U116</f>
        <v>1737.0648967435693</v>
      </c>
      <c r="H8" s="38">
        <f>Расчеты!V116</f>
        <v>1103.9261588612342</v>
      </c>
      <c r="I8" s="38">
        <f>Расчеты!W116</f>
        <v>484.38318236107796</v>
      </c>
      <c r="J8" s="38">
        <f>Расчеты!X116</f>
        <v>783.65533522813246</v>
      </c>
      <c r="K8" s="38">
        <f>Расчеты!Y116</f>
        <v>1130.8582273059283</v>
      </c>
      <c r="L8" s="38">
        <f>Расчеты!Z116</f>
        <v>1516.7789228365809</v>
      </c>
      <c r="M8" s="38">
        <f>Расчеты!AA116</f>
        <v>1932.2586299991426</v>
      </c>
      <c r="N8" s="38">
        <f>Расчеты!AB116</f>
        <v>2305.1326060751258</v>
      </c>
      <c r="O8" s="38">
        <f>Расчеты!AC116</f>
        <v>2708.3571158896525</v>
      </c>
      <c r="P8" s="38">
        <f>Расчеты!AD116</f>
        <v>3142.3353479684565</v>
      </c>
      <c r="Q8" s="38">
        <f>Расчеты!AE116</f>
        <v>3607.4755150203973</v>
      </c>
      <c r="R8" s="38">
        <f>Расчеты!AF116</f>
        <v>4104.19090885879</v>
      </c>
      <c r="S8" s="38">
        <f>Расчеты!AG116</f>
        <v>3648.0989088052661</v>
      </c>
      <c r="T8" s="38">
        <f>Расчеты!AH116</f>
        <v>3200.5433806610154</v>
      </c>
      <c r="U8" s="38">
        <f>Расчеты!AI116</f>
        <v>2761.6333468166868</v>
      </c>
      <c r="V8" s="38">
        <f>Расчеты!AJ116</f>
        <v>3473.0715309776151</v>
      </c>
      <c r="W8" s="38">
        <f>Расчеты!AK116</f>
        <v>4220.5221209475103</v>
      </c>
      <c r="X8" s="38">
        <f>Расчеты!AL116</f>
        <v>4971.971324724741</v>
      </c>
      <c r="Y8" s="38">
        <f>Расчеты!AM116</f>
        <v>5631.1061280278827</v>
      </c>
      <c r="Z8" s="38">
        <f>Расчеты!AN116</f>
        <v>6257.666208040675</v>
      </c>
      <c r="AA8" s="38">
        <f>Расчеты!AO116</f>
        <v>6914.5980770777805</v>
      </c>
      <c r="AB8" s="38">
        <f>Расчеты!AP116</f>
        <v>7602.3044359886171</v>
      </c>
      <c r="AC8" s="38">
        <f>Расчеты!AQ116</f>
        <v>8321.1929866353239</v>
      </c>
      <c r="AD8" s="38">
        <f>Расчеты!AR116</f>
        <v>9071.6764861499141</v>
      </c>
      <c r="AE8" s="38">
        <f>Расчеты!AS116</f>
        <v>8816.118209706272</v>
      </c>
      <c r="AF8" s="38">
        <f>Расчеты!AT116</f>
        <v>8571.2142493584633</v>
      </c>
      <c r="AG8" s="38">
        <f>Расчеты!AU116</f>
        <v>8337.1002706455492</v>
      </c>
      <c r="AH8" s="38">
        <f>Расчеты!AV116</f>
        <v>9302.8085353377646</v>
      </c>
      <c r="AI8" s="38">
        <f>Расчеты!AW116</f>
        <v>10304.556101429836</v>
      </c>
      <c r="AJ8" s="38">
        <f>Расчеты!AX116</f>
        <v>11342.82146442906</v>
      </c>
      <c r="AK8" s="38">
        <f>Расчеты!AY116</f>
        <v>12418.089078094192</v>
      </c>
    </row>
    <row r="9" spans="1:37" x14ac:dyDescent="0.35">
      <c r="A9" s="37" t="s">
        <v>359</v>
      </c>
      <c r="B9" s="38">
        <f>Расчеты!P10</f>
        <v>342.58500000000004</v>
      </c>
      <c r="C9" s="38">
        <f>Расчеты!Q10</f>
        <v>352.76377500000001</v>
      </c>
      <c r="D9" s="38">
        <f>Расчеты!R10</f>
        <v>363.54523162499999</v>
      </c>
      <c r="E9" s="38">
        <f>Расчеты!S10</f>
        <v>374.93841009937501</v>
      </c>
      <c r="F9" s="38">
        <f>Расчеты!T10</f>
        <v>386.9524862508656</v>
      </c>
      <c r="G9" s="38">
        <f>Расчеты!U10</f>
        <v>393.2746298977471</v>
      </c>
      <c r="H9" s="38">
        <f>Расчеты!V10</f>
        <v>399.9166056993318</v>
      </c>
      <c r="I9" s="38">
        <f>Расчеты!W10</f>
        <v>406.88321113794029</v>
      </c>
      <c r="J9" s="38">
        <f>Расчеты!X10</f>
        <v>421.47542017831552</v>
      </c>
      <c r="K9" s="38">
        <f>Расчеты!Y10</f>
        <v>433.73651235429634</v>
      </c>
      <c r="L9" s="38">
        <f>Расчеты!Z10</f>
        <v>443.67652091291689</v>
      </c>
      <c r="M9" s="38">
        <f>Расчеты!AA10</f>
        <v>451.30562959991676</v>
      </c>
      <c r="N9" s="38">
        <f>Расчеты!AB10</f>
        <v>459.04917491722142</v>
      </c>
      <c r="O9" s="38">
        <f>Расчеты!AC10</f>
        <v>466.90887341428584</v>
      </c>
      <c r="P9" s="38">
        <f>Расчеты!AD10</f>
        <v>474.8864673888063</v>
      </c>
      <c r="Q9" s="38">
        <f>Расчеты!AE10</f>
        <v>482.98372527294453</v>
      </c>
      <c r="R9" s="38">
        <f>Расчеты!AF10</f>
        <v>491.20244202534468</v>
      </c>
      <c r="S9" s="38">
        <f>Расчеты!AG10</f>
        <v>495.3734407771878</v>
      </c>
      <c r="T9" s="38">
        <f>Расчеты!AH10</f>
        <v>499.60700451030863</v>
      </c>
      <c r="U9" s="38">
        <f>Расчеты!AI10</f>
        <v>503.90407169942614</v>
      </c>
      <c r="V9" s="38">
        <f>Расчеты!AJ10</f>
        <v>512.62711809333473</v>
      </c>
      <c r="W9" s="38">
        <f>Расчеты!AK10</f>
        <v>521.48101018315219</v>
      </c>
      <c r="X9" s="38">
        <f>Расчеты!AL10</f>
        <v>530.46771065431665</v>
      </c>
      <c r="Y9" s="38">
        <f>Расчеты!AM10</f>
        <v>539.58921163254865</v>
      </c>
      <c r="Z9" s="38">
        <f>Расчеты!AN10</f>
        <v>548.84753512545421</v>
      </c>
      <c r="AA9" s="38">
        <f>Расчеты!AO10</f>
        <v>558.24473347075332</v>
      </c>
      <c r="AB9" s="38">
        <f>Расчеты!AP10</f>
        <v>567.78288979123181</v>
      </c>
      <c r="AC9" s="38">
        <f>Расчеты!AQ10</f>
        <v>577.46411845651767</v>
      </c>
      <c r="AD9" s="38">
        <f>Расчеты!AR10</f>
        <v>587.29056555178272</v>
      </c>
      <c r="AE9" s="38">
        <f>Расчеты!AS10</f>
        <v>592.27748745262966</v>
      </c>
      <c r="AF9" s="38">
        <f>Расчеты!AT10</f>
        <v>597.33921318198941</v>
      </c>
      <c r="AG9" s="38">
        <f>Расчеты!AU10</f>
        <v>602.47686479728952</v>
      </c>
      <c r="AH9" s="38">
        <f>Расчеты!AV10</f>
        <v>612.90629757634872</v>
      </c>
      <c r="AI9" s="38">
        <f>Расчеты!AW10</f>
        <v>623.49217184709391</v>
      </c>
      <c r="AJ9" s="38">
        <f>Расчеты!AX10</f>
        <v>634.23683423190016</v>
      </c>
      <c r="AK9" s="38">
        <f>Расчеты!AY10</f>
        <v>645.14266655247854</v>
      </c>
    </row>
    <row r="10" spans="1:37" x14ac:dyDescent="0.35">
      <c r="A10" s="37" t="s">
        <v>360</v>
      </c>
      <c r="B10" s="58">
        <f>Расчеты!P157</f>
        <v>0.93151702463595309</v>
      </c>
      <c r="C10" s="58">
        <f>Расчеты!Q157</f>
        <v>0.92790651471497698</v>
      </c>
      <c r="D10" s="58">
        <f>Расчеты!R157</f>
        <v>0.92505009755840872</v>
      </c>
      <c r="E10" s="58">
        <f>Расчеты!S157</f>
        <v>0.92314803724005201</v>
      </c>
      <c r="F10" s="58">
        <f>Расчеты!T157</f>
        <v>0.92233000842616075</v>
      </c>
      <c r="G10" s="58">
        <f>Расчеты!U157</f>
        <v>0.94411554112838703</v>
      </c>
      <c r="H10" s="58">
        <f>Расчеты!V157</f>
        <v>0.91963176357282583</v>
      </c>
      <c r="I10" s="58">
        <f>Расчеты!W157</f>
        <v>0.86240834554675605</v>
      </c>
      <c r="J10" s="58">
        <f>Расчеты!X157</f>
        <v>0.80352290668413229</v>
      </c>
      <c r="K10" s="58">
        <f>Расчеты!Y157</f>
        <v>0.83833657745690149</v>
      </c>
      <c r="L10" s="58">
        <f>Расчеты!Z157</f>
        <v>0.86472609995068694</v>
      </c>
      <c r="M10" s="58">
        <f>Расчеты!AA157</f>
        <v>0.88486982651462065</v>
      </c>
      <c r="N10" s="58">
        <f>Расчеты!AB157</f>
        <v>0.89810983073667727</v>
      </c>
      <c r="O10" s="58">
        <f>Расчеты!AC157</f>
        <v>0.90915615351842538</v>
      </c>
      <c r="P10" s="58">
        <f>Расчеты!AD157</f>
        <v>0.91845626543924319</v>
      </c>
      <c r="Q10" s="58">
        <f>Расчеты!AE157</f>
        <v>0.92635281088729904</v>
      </c>
      <c r="R10" s="58">
        <f>Расчеты!AF157</f>
        <v>0.93311057931924812</v>
      </c>
      <c r="S10" s="58">
        <f>Расчеты!AG157</f>
        <v>0.95909144981242889</v>
      </c>
      <c r="T10" s="58">
        <f>Расчеты!AH157</f>
        <v>0.95332689140977733</v>
      </c>
      <c r="U10" s="58">
        <f>Расчеты!AI157</f>
        <v>0.94598361454215174</v>
      </c>
      <c r="V10" s="58">
        <f>Расчеты!AJ157</f>
        <v>0.91440824291288336</v>
      </c>
      <c r="W10" s="58">
        <f>Расчеты!AK157</f>
        <v>0.92673469370932438</v>
      </c>
      <c r="X10" s="58">
        <f>Расчеты!AL157</f>
        <v>0.93572561899402018</v>
      </c>
      <c r="Y10" s="58">
        <f>Расчеты!AM157</f>
        <v>0.9416605594649845</v>
      </c>
      <c r="Z10" s="58">
        <f>Расчеты!AN157</f>
        <v>0.94623605113191778</v>
      </c>
      <c r="AA10" s="58">
        <f>Расчеты!AO157</f>
        <v>0.95022225241117453</v>
      </c>
      <c r="AB10" s="58">
        <f>Расчеты!AP157</f>
        <v>0.95372067672028271</v>
      </c>
      <c r="AC10" s="58">
        <f>Расчеты!AQ157</f>
        <v>0.95681126088047252</v>
      </c>
      <c r="AD10" s="58">
        <f>Расчеты!AR157</f>
        <v>0.95955775416075351</v>
      </c>
      <c r="AE10" s="58">
        <f>Расчеты!AS157</f>
        <v>0.97752632290772146</v>
      </c>
      <c r="AF10" s="58">
        <f>Расчеты!AT157</f>
        <v>0.97667745852444021</v>
      </c>
      <c r="AG10" s="58">
        <f>Расчеты!AU157</f>
        <v>0.97580686092719704</v>
      </c>
      <c r="AH10" s="58">
        <f>Расчеты!AV157</f>
        <v>0.95671247107111579</v>
      </c>
      <c r="AI10" s="58">
        <f>Расчеты!AW157</f>
        <v>0.96007995136571245</v>
      </c>
      <c r="AJ10" s="58">
        <f>Расчеты!AX157</f>
        <v>0.96297952573195611</v>
      </c>
      <c r="AK10" s="58">
        <f>Расчеты!AY157</f>
        <v>0.96550093007648785</v>
      </c>
    </row>
    <row r="11" spans="1:37" x14ac:dyDescent="0.35">
      <c r="A11" s="37" t="s">
        <v>361</v>
      </c>
      <c r="B11" s="58">
        <f>Расчеты!P158</f>
        <v>12.393163754347876</v>
      </c>
      <c r="C11" s="58">
        <f>Расчеты!Q158</f>
        <v>11.813670476476105</v>
      </c>
      <c r="D11" s="58">
        <f>Расчеты!R158</f>
        <v>11.43172439954162</v>
      </c>
      <c r="E11" s="58">
        <f>Расчеты!S158</f>
        <v>11.242922918514923</v>
      </c>
      <c r="F11" s="58">
        <f>Расчеты!T158</f>
        <v>11.241906910783085</v>
      </c>
      <c r="G11" s="58">
        <f>Расчеты!U158</f>
        <v>14.993884015263298</v>
      </c>
      <c r="H11" s="58">
        <f>Расчеты!V158</f>
        <v>9.7483180760263544</v>
      </c>
      <c r="I11" s="58">
        <f>Расчеты!W158</f>
        <v>4.7743913816657866</v>
      </c>
      <c r="J11" s="58">
        <f>Расчеты!X158</f>
        <v>3.9574693921563626</v>
      </c>
      <c r="K11" s="58">
        <f>Расчеты!Y158</f>
        <v>5.1565349182733993</v>
      </c>
      <c r="L11" s="58">
        <f>Расчеты!Z158</f>
        <v>6.4569936391387941</v>
      </c>
      <c r="M11" s="58">
        <f>Расчеты!AA158</f>
        <v>7.8366595173058728</v>
      </c>
      <c r="N11" s="58">
        <f>Расчеты!AB158</f>
        <v>9.021122615271711</v>
      </c>
      <c r="O11" s="58">
        <f>Расчеты!AC158</f>
        <v>10.268692834447055</v>
      </c>
      <c r="P11" s="58">
        <f>Расчеты!AD158</f>
        <v>11.576718688015454</v>
      </c>
      <c r="Q11" s="58">
        <f>Расчеты!AE158</f>
        <v>12.942630340319667</v>
      </c>
      <c r="R11" s="58">
        <f>Расчеты!AF158</f>
        <v>14.363936934153525</v>
      </c>
      <c r="S11" s="58">
        <f>Расчеты!AG158</f>
        <v>23.412634721357836</v>
      </c>
      <c r="T11" s="58">
        <f>Расчеты!AH158</f>
        <v>20.476305134173668</v>
      </c>
      <c r="U11" s="58">
        <f>Расчеты!AI158</f>
        <v>17.644980909320786</v>
      </c>
      <c r="V11" s="58">
        <f>Расчеты!AJ158</f>
        <v>11.292195621287757</v>
      </c>
      <c r="W11" s="58">
        <f>Расчеты!AK158</f>
        <v>13.299324481014711</v>
      </c>
      <c r="X11" s="58">
        <f>Расчеты!AL158</f>
        <v>15.248789534259368</v>
      </c>
      <c r="Y11" s="58">
        <f>Расчеты!AM158</f>
        <v>16.870499737522586</v>
      </c>
      <c r="Z11" s="58">
        <f>Расчеты!AN158</f>
        <v>18.344821267154785</v>
      </c>
      <c r="AA11" s="58">
        <f>Расчеты!AO158</f>
        <v>19.849407189294329</v>
      </c>
      <c r="AB11" s="58">
        <f>Расчеты!AP158</f>
        <v>21.382707565990923</v>
      </c>
      <c r="AC11" s="58">
        <f>Расчеты!AQ158</f>
        <v>22.943221450638092</v>
      </c>
      <c r="AD11" s="58">
        <f>Расчеты!AR158</f>
        <v>24.529495279317377</v>
      </c>
      <c r="AE11" s="58">
        <f>Расчеты!AS158</f>
        <v>44.144149003868542</v>
      </c>
      <c r="AF11" s="58">
        <f>Расчеты!AT158</f>
        <v>42.547356538337304</v>
      </c>
      <c r="AG11" s="58">
        <f>Расчеты!AU158</f>
        <v>41.026765967776932</v>
      </c>
      <c r="AH11" s="58">
        <f>Расчеты!AV158</f>
        <v>22.959708996389978</v>
      </c>
      <c r="AI11" s="58">
        <f>Расчеты!AW158</f>
        <v>24.920076283149704</v>
      </c>
      <c r="AJ11" s="58">
        <f>Расчеты!AX158</f>
        <v>26.893374146252132</v>
      </c>
      <c r="AK11" s="58">
        <f>Расчеты!AY158</f>
        <v>28.878528993203599</v>
      </c>
    </row>
    <row r="13" spans="1:37" x14ac:dyDescent="0.35">
      <c r="A13" s="20" t="s">
        <v>362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x14ac:dyDescent="0.35">
      <c r="A14" s="37" t="s">
        <v>363</v>
      </c>
      <c r="B14" s="58">
        <v>0.8</v>
      </c>
      <c r="C14" s="58">
        <v>0.8</v>
      </c>
      <c r="D14" s="58">
        <v>0.8</v>
      </c>
      <c r="E14" s="58">
        <v>0.8</v>
      </c>
      <c r="F14" s="58">
        <v>0.8</v>
      </c>
      <c r="G14" s="58">
        <v>0.8</v>
      </c>
      <c r="H14" s="58">
        <v>0.8</v>
      </c>
      <c r="I14" s="58">
        <v>0.8</v>
      </c>
      <c r="J14" s="58">
        <v>0.8</v>
      </c>
      <c r="K14" s="58">
        <v>0.8</v>
      </c>
      <c r="L14" s="58">
        <v>0.8</v>
      </c>
      <c r="M14" s="58">
        <v>0.8</v>
      </c>
      <c r="N14" s="58">
        <v>0.8</v>
      </c>
      <c r="O14" s="58">
        <v>0.8</v>
      </c>
      <c r="P14" s="58">
        <v>0.8</v>
      </c>
      <c r="Q14" s="58">
        <v>0.8</v>
      </c>
      <c r="R14" s="58">
        <v>0.8</v>
      </c>
      <c r="S14" s="58">
        <v>0.8</v>
      </c>
      <c r="T14" s="58">
        <v>0.8</v>
      </c>
      <c r="U14" s="58">
        <v>0.8</v>
      </c>
      <c r="V14" s="58">
        <v>0.8</v>
      </c>
      <c r="W14" s="58">
        <v>0.8</v>
      </c>
      <c r="X14" s="58">
        <v>0.8</v>
      </c>
      <c r="Y14" s="58">
        <v>0.8</v>
      </c>
      <c r="Z14" s="58">
        <v>0.8</v>
      </c>
      <c r="AA14" s="58">
        <v>0.8</v>
      </c>
      <c r="AB14" s="58">
        <v>0.8</v>
      </c>
      <c r="AC14" s="58">
        <v>0.8</v>
      </c>
      <c r="AD14" s="58">
        <v>0.8</v>
      </c>
      <c r="AE14" s="58">
        <v>0.8</v>
      </c>
      <c r="AF14" s="58">
        <v>0.8</v>
      </c>
      <c r="AG14" s="58">
        <v>0.8</v>
      </c>
      <c r="AH14" s="58">
        <v>0.8</v>
      </c>
      <c r="AI14" s="58">
        <v>0.8</v>
      </c>
      <c r="AJ14" s="58">
        <v>0.8</v>
      </c>
      <c r="AK14" s="58">
        <v>0.8</v>
      </c>
    </row>
    <row r="15" spans="1:37" x14ac:dyDescent="0.35">
      <c r="A15" s="37" t="s">
        <v>364</v>
      </c>
      <c r="B15" s="58">
        <v>2</v>
      </c>
      <c r="C15" s="58">
        <v>2</v>
      </c>
      <c r="D15" s="58">
        <v>2</v>
      </c>
      <c r="E15" s="58">
        <v>2</v>
      </c>
      <c r="F15" s="58">
        <v>2</v>
      </c>
      <c r="G15" s="58">
        <v>2</v>
      </c>
      <c r="H15" s="58">
        <v>2</v>
      </c>
      <c r="I15" s="58">
        <v>2</v>
      </c>
      <c r="J15" s="58">
        <v>2</v>
      </c>
      <c r="K15" s="58">
        <v>2</v>
      </c>
      <c r="L15" s="58">
        <v>2</v>
      </c>
      <c r="M15" s="58">
        <v>2</v>
      </c>
      <c r="N15" s="58">
        <v>2</v>
      </c>
      <c r="O15" s="58">
        <v>2</v>
      </c>
      <c r="P15" s="58">
        <v>2</v>
      </c>
      <c r="Q15" s="58">
        <v>2</v>
      </c>
      <c r="R15" s="58">
        <v>2</v>
      </c>
      <c r="S15" s="58">
        <v>2</v>
      </c>
      <c r="T15" s="58">
        <v>2</v>
      </c>
      <c r="U15" s="58">
        <v>2</v>
      </c>
      <c r="V15" s="58">
        <v>2</v>
      </c>
      <c r="W15" s="58">
        <v>2</v>
      </c>
      <c r="X15" s="58">
        <v>2</v>
      </c>
      <c r="Y15" s="58">
        <v>2</v>
      </c>
      <c r="Z15" s="58">
        <v>2</v>
      </c>
      <c r="AA15" s="58">
        <v>2</v>
      </c>
      <c r="AB15" s="58">
        <v>2</v>
      </c>
      <c r="AC15" s="58">
        <v>2</v>
      </c>
      <c r="AD15" s="58">
        <v>2</v>
      </c>
      <c r="AE15" s="58">
        <v>2</v>
      </c>
      <c r="AF15" s="58">
        <v>2</v>
      </c>
      <c r="AG15" s="58">
        <v>2</v>
      </c>
      <c r="AH15" s="58">
        <v>2</v>
      </c>
      <c r="AI15" s="58">
        <v>2</v>
      </c>
      <c r="AJ15" s="58">
        <v>2</v>
      </c>
      <c r="AK15" s="58">
        <v>2</v>
      </c>
    </row>
    <row r="17" spans="1:37" x14ac:dyDescent="0.35">
      <c r="A17" s="20" t="s">
        <v>365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x14ac:dyDescent="0.35">
      <c r="A18" s="35" t="s">
        <v>219</v>
      </c>
      <c r="B18" s="36" t="s">
        <v>220</v>
      </c>
      <c r="C18" s="36" t="s">
        <v>221</v>
      </c>
      <c r="D18" s="36" t="s">
        <v>222</v>
      </c>
    </row>
    <row r="19" spans="1:37" x14ac:dyDescent="0.35">
      <c r="A19" s="37" t="s">
        <v>105</v>
      </c>
      <c r="B19" s="38">
        <f>'Отчетность по годам'!B6</f>
        <v>21475.213513921939</v>
      </c>
      <c r="C19" s="38">
        <f>'Отчетность по годам'!C6</f>
        <v>28026.923506975745</v>
      </c>
      <c r="D19" s="38">
        <f>'Отчетность по годам'!D6</f>
        <v>35184.973986857753</v>
      </c>
    </row>
    <row r="20" spans="1:37" x14ac:dyDescent="0.35">
      <c r="A20" s="37" t="s">
        <v>115</v>
      </c>
      <c r="B20" s="38">
        <f>'Отчетность по годам'!B8</f>
        <v>17236.189664481903</v>
      </c>
      <c r="C20" s="38">
        <f>'Отчетность по годам'!C8</f>
        <v>22537.751616242607</v>
      </c>
      <c r="D20" s="38">
        <f>'Отчетность по годам'!D8</f>
        <v>28217.23170697621</v>
      </c>
    </row>
    <row r="21" spans="1:37" x14ac:dyDescent="0.35">
      <c r="A21" s="37" t="s">
        <v>119</v>
      </c>
      <c r="B21" s="38">
        <f>'Отчетность по годам'!B10</f>
        <v>-177.74137000085693</v>
      </c>
      <c r="C21" s="38">
        <f>'Отчетность по годам'!C10</f>
        <v>4253.1240300357103</v>
      </c>
      <c r="D21" s="38">
        <f>'Отчетность по годам'!D10</f>
        <v>9018.3727414589739</v>
      </c>
    </row>
    <row r="22" spans="1:37" x14ac:dyDescent="0.35">
      <c r="A22" s="37" t="s">
        <v>124</v>
      </c>
      <c r="B22" s="38">
        <f>'Отчетность по годам'!B16</f>
        <v>-777.74137000085693</v>
      </c>
      <c r="C22" s="38">
        <f>'Отчетность по годам'!C16</f>
        <v>3554.8474980287406</v>
      </c>
      <c r="D22" s="38">
        <f>'Отчетность по годам'!D16</f>
        <v>6738.9829500663054</v>
      </c>
    </row>
    <row r="24" spans="1:37" x14ac:dyDescent="0.35">
      <c r="A24" s="20" t="s">
        <v>366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1:37" x14ac:dyDescent="0.35">
      <c r="A25" s="35" t="s">
        <v>272</v>
      </c>
      <c r="B25" s="36" t="s">
        <v>367</v>
      </c>
    </row>
    <row r="26" spans="1:37" x14ac:dyDescent="0.35">
      <c r="A26" s="37" t="s">
        <v>368</v>
      </c>
      <c r="B26" s="47">
        <f>'Юнит-экономика'!B6</f>
        <v>1291.6666666666665</v>
      </c>
    </row>
    <row r="27" spans="1:37" x14ac:dyDescent="0.35">
      <c r="A27" s="37" t="s">
        <v>369</v>
      </c>
      <c r="B27" s="47">
        <f>'Юнит-экономика'!B11</f>
        <v>15541.66666666667</v>
      </c>
    </row>
    <row r="29" spans="1:37" x14ac:dyDescent="0.35">
      <c r="A29" s="20" t="s">
        <v>370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</row>
    <row r="30" spans="1:37" x14ac:dyDescent="0.35">
      <c r="A30" s="35" t="s">
        <v>219</v>
      </c>
      <c r="B30" s="36" t="s">
        <v>323</v>
      </c>
      <c r="C30" s="36" t="s">
        <v>324</v>
      </c>
    </row>
    <row r="31" spans="1:37" x14ac:dyDescent="0.35">
      <c r="A31" s="37" t="s">
        <v>105</v>
      </c>
      <c r="B31" s="38">
        <f>'План-факт март 2022'!B41</f>
        <v>1831.9609055208332</v>
      </c>
      <c r="C31" s="38">
        <f>'План-факт март 2022'!C41</f>
        <v>1295</v>
      </c>
    </row>
    <row r="32" spans="1:37" x14ac:dyDescent="0.35">
      <c r="A32" s="37" t="s">
        <v>115</v>
      </c>
      <c r="B32" s="38">
        <f>'План-факт март 2022'!B46</f>
        <v>1461.57196588647</v>
      </c>
      <c r="C32" s="38">
        <f>'План-факт март 2022'!C46</f>
        <v>924.64613151041669</v>
      </c>
    </row>
    <row r="33" spans="1:3" x14ac:dyDescent="0.35">
      <c r="A33" s="37" t="s">
        <v>124</v>
      </c>
      <c r="B33" s="38">
        <f>'План-факт март 2022'!B54</f>
        <v>-39.588953653759972</v>
      </c>
      <c r="C33" s="38">
        <f>'План-факт март 2022'!C54</f>
        <v>-576.5147880298133</v>
      </c>
    </row>
  </sheetData>
  <pageMargins left="0.5" right="0.5" top="0.6" bottom="0.6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Предпосылки</vt:lpstr>
      <vt:lpstr>Расчеты</vt:lpstr>
      <vt:lpstr>Отчетность по годам</vt:lpstr>
      <vt:lpstr>Юнит-экономика</vt:lpstr>
      <vt:lpstr>Оценка стоимости и сделка</vt:lpstr>
      <vt:lpstr>План-факт март 2022</vt:lpstr>
      <vt:lpstr>Графические отчеты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 Смирнов</dc:creator>
  <cp:lastModifiedBy>Григорий Смирнов</cp:lastModifiedBy>
  <dcterms:created xsi:type="dcterms:W3CDTF">2026-09-16T17:53:19Z</dcterms:created>
  <dcterms:modified xsi:type="dcterms:W3CDTF">2026-09-16T18:56:18Z</dcterms:modified>
</cp:coreProperties>
</file>